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4" r:id="rId1"/>
    <sheet name="Askisi1" sheetId="1" r:id="rId2"/>
    <sheet name="Askisi2" sheetId="2" r:id="rId3"/>
    <sheet name="Askisi3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3" l="1"/>
  <c r="I30" i="3"/>
  <c r="I16" i="3"/>
  <c r="H30" i="3"/>
  <c r="G30" i="3"/>
  <c r="H16" i="3"/>
  <c r="G16" i="3"/>
  <c r="I15" i="3"/>
  <c r="N15" i="3" l="1"/>
  <c r="N16" i="3"/>
  <c r="N5" i="3"/>
  <c r="N6" i="3"/>
  <c r="N7" i="3"/>
  <c r="N8" i="3"/>
  <c r="N9" i="3"/>
  <c r="N10" i="3"/>
  <c r="N11" i="3"/>
  <c r="N12" i="3"/>
  <c r="N13" i="3"/>
  <c r="N14" i="3"/>
  <c r="N4" i="3"/>
  <c r="I14" i="3"/>
  <c r="H14" i="3"/>
  <c r="G14" i="3"/>
  <c r="H20" i="3"/>
  <c r="G20" i="3"/>
  <c r="G18" i="3"/>
  <c r="H18" i="3"/>
  <c r="H21" i="3"/>
  <c r="G21" i="3"/>
  <c r="G22" i="3" l="1"/>
  <c r="G23" i="3" s="1"/>
  <c r="H22" i="3"/>
  <c r="H23" i="3" s="1"/>
  <c r="H28" i="3" s="1"/>
  <c r="B19" i="3"/>
  <c r="B18" i="3"/>
  <c r="H9" i="3"/>
  <c r="G9" i="3"/>
  <c r="H7" i="3"/>
  <c r="G7" i="3"/>
  <c r="H6" i="3"/>
  <c r="G6" i="3"/>
  <c r="C13" i="3"/>
  <c r="C6" i="3"/>
  <c r="H4" i="3"/>
  <c r="G4" i="3"/>
  <c r="H8" i="3"/>
  <c r="H10" i="3" s="1"/>
  <c r="G8" i="3"/>
  <c r="G10" i="3" s="1"/>
  <c r="I15" i="2"/>
  <c r="I14" i="2"/>
  <c r="F18" i="2"/>
  <c r="F17" i="2"/>
  <c r="F16" i="2"/>
  <c r="F15" i="2"/>
  <c r="E18" i="2"/>
  <c r="E17" i="2"/>
  <c r="E16" i="2"/>
  <c r="E15" i="2"/>
  <c r="E12" i="2"/>
  <c r="G11" i="2"/>
  <c r="J11" i="2"/>
  <c r="I11" i="2"/>
  <c r="B10" i="2"/>
  <c r="G6" i="2"/>
  <c r="G8" i="2" s="1"/>
  <c r="G9" i="2" s="1"/>
  <c r="H4" i="2"/>
  <c r="I4" i="2"/>
  <c r="G4" i="2"/>
  <c r="B5" i="2"/>
  <c r="H6" i="2" s="1"/>
  <c r="G24" i="3" l="1"/>
  <c r="G28" i="3"/>
  <c r="H24" i="3"/>
  <c r="B6" i="2"/>
  <c r="I6" i="2" s="1"/>
  <c r="I8" i="2"/>
  <c r="I9" i="2" s="1"/>
  <c r="H8" i="2"/>
  <c r="H9" i="2" s="1"/>
  <c r="H11" i="2" s="1"/>
  <c r="I31" i="1"/>
  <c r="F31" i="1"/>
  <c r="E31" i="1"/>
  <c r="D31" i="1"/>
  <c r="D29" i="1"/>
  <c r="C14" i="1"/>
  <c r="I32" i="1"/>
  <c r="H2" i="1"/>
  <c r="H27" i="1"/>
  <c r="H28" i="1"/>
  <c r="H29" i="1" s="1"/>
  <c r="H31" i="1" s="1"/>
  <c r="C13" i="1"/>
  <c r="D13" i="1"/>
  <c r="E13" i="1"/>
  <c r="F13" i="1"/>
  <c r="F14" i="1" s="1"/>
  <c r="F15" i="1" s="1"/>
  <c r="F17" i="1" s="1"/>
  <c r="G13" i="1"/>
  <c r="G14" i="1" s="1"/>
  <c r="G15" i="1" s="1"/>
  <c r="G17" i="1" s="1"/>
  <c r="D14" i="1"/>
  <c r="D15" i="1" s="1"/>
  <c r="D17" i="1" s="1"/>
  <c r="E14" i="1"/>
  <c r="E15" i="1" s="1"/>
  <c r="E17" i="1" s="1"/>
  <c r="D27" i="1"/>
  <c r="D28" i="1" s="1"/>
  <c r="E27" i="1"/>
  <c r="E28" i="1" s="1"/>
  <c r="E29" i="1" s="1"/>
  <c r="F27" i="1"/>
  <c r="F28" i="1" s="1"/>
  <c r="F29" i="1" s="1"/>
  <c r="G27" i="1"/>
  <c r="G28" i="1" s="1"/>
  <c r="G29" i="1" s="1"/>
  <c r="G31" i="1" s="1"/>
  <c r="I2" i="1"/>
  <c r="E3" i="1"/>
  <c r="O15" i="3" l="1"/>
  <c r="O5" i="3"/>
  <c r="O9" i="3"/>
  <c r="O13" i="3"/>
  <c r="O16" i="3"/>
  <c r="O6" i="3"/>
  <c r="O10" i="3"/>
  <c r="O14" i="3"/>
  <c r="I28" i="3"/>
  <c r="O8" i="3"/>
  <c r="O12" i="3"/>
  <c r="O7" i="3"/>
  <c r="O11" i="3"/>
  <c r="O4" i="3"/>
  <c r="C15" i="1"/>
  <c r="C17" i="1" s="1"/>
  <c r="I17" i="1" s="1"/>
  <c r="I18" i="1" l="1"/>
</calcChain>
</file>

<file path=xl/sharedStrings.xml><?xml version="1.0" encoding="utf-8"?>
<sst xmlns="http://schemas.openxmlformats.org/spreadsheetml/2006/main" count="103" uniqueCount="53">
  <si>
    <t>Α</t>
  </si>
  <si>
    <t>Β</t>
  </si>
  <si>
    <t>κοστος αποκτησης</t>
  </si>
  <si>
    <t>ωφελιμος χρονος</t>
  </si>
  <si>
    <t>ετησιο κοστος</t>
  </si>
  <si>
    <t>εισπραξεις</t>
  </si>
  <si>
    <t>ετος</t>
  </si>
  <si>
    <t>Αποσβεσεις</t>
  </si>
  <si>
    <t>Α(Εσοδα)</t>
  </si>
  <si>
    <t>Πωλησεις</t>
  </si>
  <si>
    <t>Β(Εξοδα)</t>
  </si>
  <si>
    <t>Γ(Αποσβέσεις)</t>
  </si>
  <si>
    <t>Δ(Φορολογητεα κερδη)</t>
  </si>
  <si>
    <t>Ε(φορος) 29%</t>
  </si>
  <si>
    <t>Ζ(ΚΤΡ)</t>
  </si>
  <si>
    <t>ΚΠΑ</t>
  </si>
  <si>
    <t>NPV</t>
  </si>
  <si>
    <t xml:space="preserve">εξοπλισμος </t>
  </si>
  <si>
    <t>υπολειμματικη</t>
  </si>
  <si>
    <t>αποδοση</t>
  </si>
  <si>
    <t>παραγωγη 1ο ετος</t>
  </si>
  <si>
    <t>παραγωγη 2ο ετος</t>
  </si>
  <si>
    <t>παραγωγη 3ο ετος</t>
  </si>
  <si>
    <t>εσοδα/μοναδα</t>
  </si>
  <si>
    <t>κοστος/μοναδα</t>
  </si>
  <si>
    <t>φορλογια</t>
  </si>
  <si>
    <t>ετησια αποσβεση</t>
  </si>
  <si>
    <t>Ε(φορος) 50%</t>
  </si>
  <si>
    <t>Θ(Υπολειμματικη αξια)</t>
  </si>
  <si>
    <t>επιτοκιο</t>
  </si>
  <si>
    <t>παρουσα αξια</t>
  </si>
  <si>
    <t>συγκριση με I</t>
  </si>
  <si>
    <t>EBA</t>
  </si>
  <si>
    <t>EBA(IRR)</t>
  </si>
  <si>
    <t>Πωλησεις σε τεμαχια</t>
  </si>
  <si>
    <t>Μεταβλητο κοστος/ μον. προιοντος</t>
  </si>
  <si>
    <t>τιμη πωλησης/μον. Προιοντος</t>
  </si>
  <si>
    <t>εξοδα</t>
  </si>
  <si>
    <t>κεφαλαιο κινησης</t>
  </si>
  <si>
    <t xml:space="preserve">φορολογικος συντελεστης </t>
  </si>
  <si>
    <t xml:space="preserve">ωφελιμη διαρκεια ζωης </t>
  </si>
  <si>
    <t>αποσβεση</t>
  </si>
  <si>
    <t>Ε(φορος) 25%</t>
  </si>
  <si>
    <t>Η(Μετεαβολη σε κινησης)</t>
  </si>
  <si>
    <t>αναποσβεστη αξια</t>
  </si>
  <si>
    <t xml:space="preserve">Ι(Απελευθερωση κεφαλαιου) </t>
  </si>
  <si>
    <t>ΚΤΡ</t>
  </si>
  <si>
    <t>Σενάριο Α</t>
  </si>
  <si>
    <t>Σενάριο Β</t>
  </si>
  <si>
    <t>επιτόκια</t>
  </si>
  <si>
    <t>ΝPV</t>
  </si>
  <si>
    <t>Αλέξανδρος Ρασούλης 2015010123</t>
  </si>
  <si>
    <t>Σωτήρης Αυγέρης 2013010138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</si>
</sst>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164" formatCode="0.00000"/>
    <numFmt numFmtId="165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8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2" borderId="1" xfId="0" applyFill="1" applyBorder="1" applyAlignment="1">
      <alignment horizontal="center"/>
    </xf>
    <xf numFmtId="8" fontId="0" fillId="2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8" fontId="0" fillId="3" borderId="1" xfId="0" applyNumberFormat="1" applyFill="1" applyBorder="1" applyAlignment="1">
      <alignment horizontal="center"/>
    </xf>
    <xf numFmtId="165" fontId="0" fillId="4" borderId="0" xfId="0" applyNumberFormat="1" applyFill="1" applyAlignment="1">
      <alignment horizontal="center"/>
    </xf>
    <xf numFmtId="165" fontId="0" fillId="0" borderId="0" xfId="0" applyNumberFormat="1" applyAlignment="1"/>
    <xf numFmtId="165" fontId="0" fillId="5" borderId="0" xfId="0" applyNumberFormat="1" applyFill="1" applyAlignment="1">
      <alignment horizontal="center"/>
    </xf>
    <xf numFmtId="165" fontId="0" fillId="2" borderId="0" xfId="0" applyNumberFormat="1" applyFill="1" applyAlignment="1">
      <alignment horizont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Askisi3!$N$2:$N$3</c:f>
              <c:strCache>
                <c:ptCount val="2"/>
                <c:pt idx="0">
                  <c:v>Σενάριο Α</c:v>
                </c:pt>
                <c:pt idx="1">
                  <c:v>ΚΠΑ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Askisi3!$M$4:$M$16</c:f>
              <c:numCache>
                <c:formatCode>0.000</c:formatCode>
                <c:ptCount val="13"/>
                <c:pt idx="0">
                  <c:v>0.1</c:v>
                </c:pt>
                <c:pt idx="1">
                  <c:v>0.11</c:v>
                </c:pt>
                <c:pt idx="2">
                  <c:v>0.12</c:v>
                </c:pt>
                <c:pt idx="3">
                  <c:v>0.13</c:v>
                </c:pt>
                <c:pt idx="4">
                  <c:v>0.14000000000000001</c:v>
                </c:pt>
                <c:pt idx="5">
                  <c:v>0.15</c:v>
                </c:pt>
                <c:pt idx="6">
                  <c:v>0.16</c:v>
                </c:pt>
                <c:pt idx="7">
                  <c:v>0.17</c:v>
                </c:pt>
                <c:pt idx="8">
                  <c:v>0.18</c:v>
                </c:pt>
                <c:pt idx="9">
                  <c:v>0.19</c:v>
                </c:pt>
                <c:pt idx="10">
                  <c:v>0.2</c:v>
                </c:pt>
                <c:pt idx="11">
                  <c:v>0.21</c:v>
                </c:pt>
                <c:pt idx="12">
                  <c:v>0.22</c:v>
                </c:pt>
              </c:numCache>
            </c:numRef>
          </c:cat>
          <c:val>
            <c:numRef>
              <c:f>Askisi3!$N$4:$N$16</c:f>
              <c:numCache>
                <c:formatCode>0.000</c:formatCode>
                <c:ptCount val="13"/>
                <c:pt idx="0">
                  <c:v>8010.3305785123812</c:v>
                </c:pt>
                <c:pt idx="1">
                  <c:v>6757.8524470416305</c:v>
                </c:pt>
                <c:pt idx="2">
                  <c:v>5538.424744897944</c:v>
                </c:pt>
                <c:pt idx="3">
                  <c:v>4350.8888714856439</c:v>
                </c:pt>
                <c:pt idx="4">
                  <c:v>3194.1366574330459</c:v>
                </c:pt>
                <c:pt idx="5">
                  <c:v>2067.1077504725981</c:v>
                </c:pt>
                <c:pt idx="6">
                  <c:v>968.78715814506722</c:v>
                </c:pt>
                <c:pt idx="7">
                  <c:v>-101.79706333552167</c:v>
                </c:pt>
                <c:pt idx="8">
                  <c:v>-1145.5759839126622</c:v>
                </c:pt>
                <c:pt idx="9">
                  <c:v>-2163.4418473271653</c:v>
                </c:pt>
                <c:pt idx="10">
                  <c:v>-3156.25</c:v>
                </c:pt>
                <c:pt idx="11">
                  <c:v>-4124.8207089679636</c:v>
                </c:pt>
                <c:pt idx="12">
                  <c:v>-5069.9408761085724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22-4AAB-8B64-D436B627E64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88467168"/>
        <c:axId val="488467584"/>
      </c:lineChart>
      <c:catAx>
        <c:axId val="488467168"/>
        <c:scaling>
          <c:orientation val="minMax"/>
        </c:scaling>
        <c:delete val="0"/>
        <c:axPos val="b"/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8467584"/>
        <c:crosses val="autoZero"/>
        <c:auto val="1"/>
        <c:lblAlgn val="ctr"/>
        <c:lblOffset val="100"/>
        <c:noMultiLvlLbl val="0"/>
      </c:catAx>
      <c:valAx>
        <c:axId val="488467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8467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Askisi3!$O$2:$O$3</c:f>
              <c:strCache>
                <c:ptCount val="2"/>
                <c:pt idx="0">
                  <c:v>Σενάριο Β</c:v>
                </c:pt>
                <c:pt idx="1">
                  <c:v>ΚΠΑ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Askisi3!$M$4:$M$16</c:f>
              <c:numCache>
                <c:formatCode>0.000</c:formatCode>
                <c:ptCount val="13"/>
                <c:pt idx="0">
                  <c:v>0.1</c:v>
                </c:pt>
                <c:pt idx="1">
                  <c:v>0.11</c:v>
                </c:pt>
                <c:pt idx="2">
                  <c:v>0.12</c:v>
                </c:pt>
                <c:pt idx="3">
                  <c:v>0.13</c:v>
                </c:pt>
                <c:pt idx="4">
                  <c:v>0.14000000000000001</c:v>
                </c:pt>
                <c:pt idx="5">
                  <c:v>0.15</c:v>
                </c:pt>
                <c:pt idx="6">
                  <c:v>0.16</c:v>
                </c:pt>
                <c:pt idx="7">
                  <c:v>0.17</c:v>
                </c:pt>
                <c:pt idx="8">
                  <c:v>0.18</c:v>
                </c:pt>
                <c:pt idx="9">
                  <c:v>0.19</c:v>
                </c:pt>
                <c:pt idx="10">
                  <c:v>0.2</c:v>
                </c:pt>
                <c:pt idx="11">
                  <c:v>0.21</c:v>
                </c:pt>
                <c:pt idx="12">
                  <c:v>0.22</c:v>
                </c:pt>
              </c:numCache>
            </c:numRef>
          </c:cat>
          <c:val>
            <c:numRef>
              <c:f>Askisi3!$O$4:$O$16</c:f>
              <c:numCache>
                <c:formatCode>0.000</c:formatCode>
                <c:ptCount val="13"/>
                <c:pt idx="0">
                  <c:v>10644.62809917354</c:v>
                </c:pt>
                <c:pt idx="1">
                  <c:v>9341.8553688823886</c:v>
                </c:pt>
                <c:pt idx="2">
                  <c:v>8073.5012755101925</c:v>
                </c:pt>
                <c:pt idx="3">
                  <c:v>6838.3585245516588</c:v>
                </c:pt>
                <c:pt idx="4">
                  <c:v>5635.2723915050738</c:v>
                </c:pt>
                <c:pt idx="5">
                  <c:v>4463.1379962192877</c:v>
                </c:pt>
                <c:pt idx="6">
                  <c:v>3320.8977407847851</c:v>
                </c:pt>
                <c:pt idx="7">
                  <c:v>2207.5388998465933</c:v>
                </c:pt>
                <c:pt idx="8">
                  <c:v>1122.0913530594771</c:v>
                </c:pt>
                <c:pt idx="9">
                  <c:v>63.625450180079497</c:v>
                </c:pt>
                <c:pt idx="10">
                  <c:v>-968.75</c:v>
                </c:pt>
                <c:pt idx="11">
                  <c:v>-1975.8896250256075</c:v>
                </c:pt>
                <c:pt idx="12">
                  <c:v>-2958.613276001066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7-4C08-B8D9-15BBE7BD2A2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59973728"/>
        <c:axId val="559970816"/>
      </c:lineChart>
      <c:catAx>
        <c:axId val="559973728"/>
        <c:scaling>
          <c:orientation val="minMax"/>
        </c:scaling>
        <c:delete val="0"/>
        <c:axPos val="b"/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970816"/>
        <c:crosses val="autoZero"/>
        <c:auto val="1"/>
        <c:lblAlgn val="ctr"/>
        <c:lblOffset val="100"/>
        <c:noMultiLvlLbl val="0"/>
      </c:catAx>
      <c:valAx>
        <c:axId val="559970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973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38100</xdr:colOff>
      <xdr:row>1</xdr:row>
      <xdr:rowOff>9525</xdr:rowOff>
    </xdr:from>
    <xdr:to>
      <xdr:col>21</xdr:col>
      <xdr:colOff>186837</xdr:colOff>
      <xdr:row>13</xdr:row>
      <xdr:rowOff>106241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44824</xdr:colOff>
      <xdr:row>13</xdr:row>
      <xdr:rowOff>133350</xdr:rowOff>
    </xdr:from>
    <xdr:to>
      <xdr:col>21</xdr:col>
      <xdr:colOff>180974</xdr:colOff>
      <xdr:row>26</xdr:row>
      <xdr:rowOff>171450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>
      <selection activeCell="C7" sqref="C7"/>
    </sheetView>
  </sheetViews>
  <sheetFormatPr defaultRowHeight="15" x14ac:dyDescent="0.25"/>
  <sheetData>
    <row r="1" spans="1:1" x14ac:dyDescent="0.25">
      <c r="A1" s="15" t="s">
        <v>51</v>
      </c>
    </row>
    <row r="2" spans="1:1" x14ac:dyDescent="0.25">
      <c r="A2" s="15" t="s">
        <v>52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zoomScale="85" zoomScaleNormal="85" workbookViewId="0">
      <selection activeCell="A35" sqref="A35"/>
    </sheetView>
  </sheetViews>
  <sheetFormatPr defaultRowHeight="15" x14ac:dyDescent="0.25"/>
  <cols>
    <col min="1" max="1" width="22.5703125" style="1" customWidth="1"/>
    <col min="2" max="2" width="19.5703125" style="1" customWidth="1"/>
    <col min="3" max="3" width="17.5703125" style="1" bestFit="1" customWidth="1"/>
    <col min="4" max="4" width="16.28515625" style="1" bestFit="1" customWidth="1"/>
    <col min="5" max="5" width="13.5703125" style="1" bestFit="1" customWidth="1"/>
    <col min="6" max="6" width="10.5703125" style="1" bestFit="1" customWidth="1"/>
    <col min="7" max="7" width="11.7109375" style="1" customWidth="1"/>
    <col min="8" max="8" width="14.140625" style="1" customWidth="1"/>
    <col min="9" max="9" width="15.28515625" style="1" customWidth="1"/>
    <col min="10" max="10" width="21.42578125" style="1" customWidth="1"/>
    <col min="11" max="16384" width="9.140625" style="1"/>
  </cols>
  <sheetData>
    <row r="1" spans="1:9" x14ac:dyDescent="0.25">
      <c r="B1" s="1" t="s">
        <v>2</v>
      </c>
      <c r="C1" s="1" t="s">
        <v>3</v>
      </c>
      <c r="D1" s="1" t="s">
        <v>4</v>
      </c>
      <c r="E1" s="1" t="s">
        <v>5</v>
      </c>
      <c r="G1" s="1" t="s">
        <v>7</v>
      </c>
      <c r="H1" s="1" t="s">
        <v>0</v>
      </c>
      <c r="I1" s="1" t="s">
        <v>1</v>
      </c>
    </row>
    <row r="2" spans="1:9" x14ac:dyDescent="0.25">
      <c r="A2" s="1" t="s">
        <v>0</v>
      </c>
      <c r="B2" s="1">
        <v>375000</v>
      </c>
      <c r="C2" s="1">
        <v>15</v>
      </c>
      <c r="D2" s="1">
        <v>530000</v>
      </c>
      <c r="E2" s="1">
        <v>800000</v>
      </c>
      <c r="H2" s="1">
        <f>B3/10</f>
        <v>50000</v>
      </c>
      <c r="I2" s="1">
        <f>B2/15</f>
        <v>25000</v>
      </c>
    </row>
    <row r="3" spans="1:9" x14ac:dyDescent="0.25">
      <c r="A3" s="1" t="s">
        <v>1</v>
      </c>
      <c r="B3" s="1">
        <v>500000</v>
      </c>
      <c r="C3" s="1">
        <v>10</v>
      </c>
      <c r="D3" s="1">
        <v>510000</v>
      </c>
      <c r="E3" s="1">
        <f>E2*15/100+E2</f>
        <v>920000</v>
      </c>
    </row>
    <row r="6" spans="1:9" x14ac:dyDescent="0.25">
      <c r="A6" s="7"/>
      <c r="B6" s="7" t="s">
        <v>6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/>
    </row>
    <row r="7" spans="1:9" x14ac:dyDescent="0.25">
      <c r="A7" s="7"/>
      <c r="B7" s="7"/>
      <c r="C7" s="7"/>
      <c r="D7" s="7"/>
      <c r="E7" s="7"/>
      <c r="F7" s="7"/>
      <c r="G7" s="7"/>
      <c r="H7" s="7"/>
      <c r="I7" s="7"/>
    </row>
    <row r="8" spans="1:9" x14ac:dyDescent="0.25">
      <c r="A8" s="7" t="s">
        <v>8</v>
      </c>
      <c r="B8" s="7"/>
      <c r="C8" s="7"/>
      <c r="D8" s="7"/>
      <c r="E8" s="7"/>
      <c r="F8" s="7"/>
      <c r="G8" s="7"/>
      <c r="H8" s="7"/>
      <c r="I8" s="7"/>
    </row>
    <row r="9" spans="1:9" x14ac:dyDescent="0.25">
      <c r="A9" s="7"/>
      <c r="B9" s="7" t="s">
        <v>9</v>
      </c>
      <c r="C9" s="7">
        <v>800000</v>
      </c>
      <c r="D9" s="7">
        <v>800000</v>
      </c>
      <c r="E9" s="7">
        <v>800000</v>
      </c>
      <c r="F9" s="7">
        <v>800000</v>
      </c>
      <c r="G9" s="7">
        <v>800000</v>
      </c>
      <c r="H9" s="7"/>
      <c r="I9" s="7"/>
    </row>
    <row r="10" spans="1:9" x14ac:dyDescent="0.25">
      <c r="A10" s="7" t="s">
        <v>10</v>
      </c>
      <c r="B10" s="7"/>
      <c r="C10" s="7"/>
      <c r="D10" s="7"/>
      <c r="E10" s="7"/>
      <c r="F10" s="7"/>
      <c r="G10" s="7"/>
      <c r="H10" s="7"/>
      <c r="I10" s="7"/>
    </row>
    <row r="11" spans="1:9" x14ac:dyDescent="0.25">
      <c r="A11" s="7"/>
      <c r="B11" s="7"/>
      <c r="C11" s="7">
        <v>530000</v>
      </c>
      <c r="D11" s="7">
        <v>530000</v>
      </c>
      <c r="E11" s="7">
        <v>530000</v>
      </c>
      <c r="F11" s="7">
        <v>530000</v>
      </c>
      <c r="G11" s="7">
        <v>530000</v>
      </c>
      <c r="H11" s="7"/>
      <c r="I11" s="7"/>
    </row>
    <row r="12" spans="1:9" x14ac:dyDescent="0.25">
      <c r="A12" s="7" t="s">
        <v>11</v>
      </c>
      <c r="B12" s="7"/>
      <c r="C12" s="7">
        <v>25000</v>
      </c>
      <c r="D12" s="7">
        <v>25000</v>
      </c>
      <c r="E12" s="7">
        <v>25000</v>
      </c>
      <c r="F12" s="7">
        <v>25000</v>
      </c>
      <c r="G12" s="7">
        <v>25000</v>
      </c>
      <c r="H12" s="7"/>
      <c r="I12" s="7"/>
    </row>
    <row r="13" spans="1:9" x14ac:dyDescent="0.25">
      <c r="A13" s="7" t="s">
        <v>12</v>
      </c>
      <c r="B13" s="7"/>
      <c r="C13" s="7">
        <f t="shared" ref="C13:G13" si="0">C9-C11-C12</f>
        <v>245000</v>
      </c>
      <c r="D13" s="7">
        <f t="shared" si="0"/>
        <v>245000</v>
      </c>
      <c r="E13" s="7">
        <f t="shared" si="0"/>
        <v>245000</v>
      </c>
      <c r="F13" s="7">
        <f t="shared" si="0"/>
        <v>245000</v>
      </c>
      <c r="G13" s="7">
        <f t="shared" si="0"/>
        <v>245000</v>
      </c>
      <c r="H13" s="7"/>
      <c r="I13" s="7"/>
    </row>
    <row r="14" spans="1:9" x14ac:dyDescent="0.25">
      <c r="A14" s="7" t="s">
        <v>13</v>
      </c>
      <c r="B14" s="7"/>
      <c r="C14" s="7">
        <f>0.29*C13</f>
        <v>71050</v>
      </c>
      <c r="D14" s="7">
        <f t="shared" ref="D14:G14" si="1">0.29*D13</f>
        <v>71050</v>
      </c>
      <c r="E14" s="7">
        <f t="shared" si="1"/>
        <v>71050</v>
      </c>
      <c r="F14" s="7">
        <f t="shared" si="1"/>
        <v>71050</v>
      </c>
      <c r="G14" s="7">
        <f t="shared" si="1"/>
        <v>71050</v>
      </c>
      <c r="H14" s="7"/>
      <c r="I14" s="7"/>
    </row>
    <row r="15" spans="1:9" x14ac:dyDescent="0.25">
      <c r="A15" s="7" t="s">
        <v>14</v>
      </c>
      <c r="B15" s="7"/>
      <c r="C15" s="7">
        <f t="shared" ref="C15:G15" si="2">C9-C11-C14</f>
        <v>198950</v>
      </c>
      <c r="D15" s="7">
        <f t="shared" si="2"/>
        <v>198950</v>
      </c>
      <c r="E15" s="7">
        <f t="shared" si="2"/>
        <v>198950</v>
      </c>
      <c r="F15" s="7">
        <f t="shared" si="2"/>
        <v>198950</v>
      </c>
      <c r="G15" s="7">
        <f t="shared" si="2"/>
        <v>198950</v>
      </c>
      <c r="H15" s="7"/>
      <c r="I15" s="7"/>
    </row>
    <row r="16" spans="1:9" x14ac:dyDescent="0.25">
      <c r="A16" s="7"/>
      <c r="B16" s="7"/>
      <c r="C16" s="7"/>
      <c r="D16" s="7"/>
      <c r="E16" s="7"/>
      <c r="F16" s="7"/>
      <c r="G16" s="7"/>
      <c r="H16" s="7"/>
      <c r="I16" s="7"/>
    </row>
    <row r="17" spans="1:9" x14ac:dyDescent="0.25">
      <c r="A17" s="7" t="s">
        <v>15</v>
      </c>
      <c r="B17" s="7"/>
      <c r="C17" s="7">
        <f>C15/((1+0.12)^C6)</f>
        <v>57193.37091046336</v>
      </c>
      <c r="D17" s="7">
        <f t="shared" ref="D17:G17" si="3">D15/((1+0.12)^D6)</f>
        <v>51065.509741485148</v>
      </c>
      <c r="E17" s="7">
        <f t="shared" si="3"/>
        <v>45594.205126326015</v>
      </c>
      <c r="F17" s="7">
        <f t="shared" si="3"/>
        <v>40709.111719933935</v>
      </c>
      <c r="G17" s="7">
        <f t="shared" si="3"/>
        <v>36347.42117851245</v>
      </c>
      <c r="H17" s="7"/>
      <c r="I17" s="7">
        <f>SUM(C17,D17,E17,F17,G17)</f>
        <v>230909.61867672089</v>
      </c>
    </row>
    <row r="18" spans="1:9" x14ac:dyDescent="0.25">
      <c r="A18" s="7" t="s">
        <v>16</v>
      </c>
      <c r="B18" s="7"/>
      <c r="C18" s="7"/>
      <c r="D18" s="7"/>
      <c r="E18" s="7"/>
      <c r="F18" s="7"/>
      <c r="G18" s="7"/>
      <c r="H18" s="7"/>
      <c r="I18" s="8">
        <f>NPV(12%,C15:G15)</f>
        <v>717170.22545653861</v>
      </c>
    </row>
    <row r="20" spans="1:9" x14ac:dyDescent="0.25">
      <c r="A20" s="9"/>
      <c r="B20" s="9" t="s">
        <v>6</v>
      </c>
      <c r="C20" s="9">
        <v>0</v>
      </c>
      <c r="D20" s="9">
        <v>1</v>
      </c>
      <c r="E20" s="9">
        <v>2</v>
      </c>
      <c r="F20" s="9">
        <v>3</v>
      </c>
      <c r="G20" s="9">
        <v>4</v>
      </c>
      <c r="H20" s="9">
        <v>5</v>
      </c>
      <c r="I20" s="9"/>
    </row>
    <row r="21" spans="1:9" x14ac:dyDescent="0.25">
      <c r="A21" s="9"/>
      <c r="B21" s="9"/>
      <c r="C21" s="9"/>
      <c r="D21" s="9"/>
      <c r="E21" s="9"/>
      <c r="F21" s="9"/>
      <c r="G21" s="9"/>
      <c r="H21" s="9"/>
      <c r="I21" s="9"/>
    </row>
    <row r="22" spans="1:9" x14ac:dyDescent="0.25">
      <c r="A22" s="9" t="s">
        <v>8</v>
      </c>
      <c r="B22" s="9"/>
      <c r="C22" s="9"/>
      <c r="D22" s="9"/>
      <c r="E22" s="9"/>
      <c r="F22" s="9"/>
      <c r="G22" s="9"/>
      <c r="H22" s="9"/>
      <c r="I22" s="9"/>
    </row>
    <row r="23" spans="1:9" x14ac:dyDescent="0.25">
      <c r="A23" s="9"/>
      <c r="B23" s="9" t="s">
        <v>9</v>
      </c>
      <c r="C23" s="9">
        <v>0</v>
      </c>
      <c r="D23" s="9">
        <v>920000</v>
      </c>
      <c r="E23" s="9">
        <v>920000</v>
      </c>
      <c r="F23" s="9">
        <v>920000</v>
      </c>
      <c r="G23" s="9">
        <v>920000</v>
      </c>
      <c r="H23" s="9">
        <v>920000</v>
      </c>
      <c r="I23" s="9"/>
    </row>
    <row r="24" spans="1:9" x14ac:dyDescent="0.25">
      <c r="A24" s="9" t="s">
        <v>10</v>
      </c>
      <c r="B24" s="9"/>
      <c r="C24" s="9"/>
      <c r="D24" s="9"/>
      <c r="E24" s="9"/>
      <c r="F24" s="9"/>
      <c r="G24" s="9"/>
      <c r="H24" s="9"/>
      <c r="I24" s="9"/>
    </row>
    <row r="25" spans="1:9" x14ac:dyDescent="0.25">
      <c r="A25" s="9"/>
      <c r="B25" s="9"/>
      <c r="C25" s="9">
        <v>500000</v>
      </c>
      <c r="D25" s="9">
        <v>510000</v>
      </c>
      <c r="E25" s="9">
        <v>510000</v>
      </c>
      <c r="F25" s="9">
        <v>510000</v>
      </c>
      <c r="G25" s="9">
        <v>510000</v>
      </c>
      <c r="H25" s="9">
        <v>510000</v>
      </c>
      <c r="I25" s="9"/>
    </row>
    <row r="26" spans="1:9" x14ac:dyDescent="0.25">
      <c r="A26" s="9" t="s">
        <v>11</v>
      </c>
      <c r="B26" s="9"/>
      <c r="C26" s="9"/>
      <c r="D26" s="9">
        <v>50000</v>
      </c>
      <c r="E26" s="9">
        <v>50000</v>
      </c>
      <c r="F26" s="9">
        <v>50000</v>
      </c>
      <c r="G26" s="9">
        <v>50000</v>
      </c>
      <c r="H26" s="9">
        <v>50000</v>
      </c>
      <c r="I26" s="9"/>
    </row>
    <row r="27" spans="1:9" x14ac:dyDescent="0.25">
      <c r="A27" s="9" t="s">
        <v>12</v>
      </c>
      <c r="B27" s="9"/>
      <c r="C27" s="9"/>
      <c r="D27" s="9">
        <f t="shared" ref="D27" si="4">D23-D25-D26</f>
        <v>360000</v>
      </c>
      <c r="E27" s="9">
        <f t="shared" ref="E27" si="5">E23-E25-E26</f>
        <v>360000</v>
      </c>
      <c r="F27" s="9">
        <f t="shared" ref="F27" si="6">F23-F25-F26</f>
        <v>360000</v>
      </c>
      <c r="G27" s="9">
        <f>G23-G25-G26</f>
        <v>360000</v>
      </c>
      <c r="H27" s="9">
        <f t="shared" ref="H27" si="7">H23-H25-H26</f>
        <v>360000</v>
      </c>
      <c r="I27" s="9"/>
    </row>
    <row r="28" spans="1:9" x14ac:dyDescent="0.25">
      <c r="A28" s="9" t="s">
        <v>13</v>
      </c>
      <c r="B28" s="9"/>
      <c r="C28" s="9"/>
      <c r="D28" s="9">
        <f t="shared" ref="D28" si="8">0.29*D27</f>
        <v>104400</v>
      </c>
      <c r="E28" s="9">
        <f t="shared" ref="E28" si="9">0.29*E27</f>
        <v>104400</v>
      </c>
      <c r="F28" s="9">
        <f t="shared" ref="F28" si="10">0.29*F27</f>
        <v>104400</v>
      </c>
      <c r="G28" s="9">
        <f t="shared" ref="G28" si="11">0.29*G27</f>
        <v>104400</v>
      </c>
      <c r="H28" s="9">
        <f t="shared" ref="H28" si="12">0.29*H27</f>
        <v>104400</v>
      </c>
      <c r="I28" s="9"/>
    </row>
    <row r="29" spans="1:9" x14ac:dyDescent="0.25">
      <c r="A29" s="9" t="s">
        <v>14</v>
      </c>
      <c r="B29" s="9"/>
      <c r="C29" s="9"/>
      <c r="D29" s="9">
        <f>D23-D25-D28</f>
        <v>305600</v>
      </c>
      <c r="E29" s="9">
        <f t="shared" ref="E29" si="13">E23-E25-E28</f>
        <v>305600</v>
      </c>
      <c r="F29" s="9">
        <f t="shared" ref="F29" si="14">F23-F25-F28</f>
        <v>305600</v>
      </c>
      <c r="G29" s="9">
        <f>G23-G25-G28</f>
        <v>305600</v>
      </c>
      <c r="H29" s="9">
        <f t="shared" ref="H29" si="15">H23-H25-H28</f>
        <v>305600</v>
      </c>
      <c r="I29" s="9"/>
    </row>
    <row r="30" spans="1:9" x14ac:dyDescent="0.25">
      <c r="A30" s="9"/>
      <c r="B30" s="9"/>
      <c r="C30" s="9"/>
      <c r="D30" s="9"/>
      <c r="E30" s="9"/>
      <c r="F30" s="9"/>
      <c r="G30" s="9"/>
      <c r="H30" s="9"/>
      <c r="I30" s="9"/>
    </row>
    <row r="31" spans="1:9" x14ac:dyDescent="0.25">
      <c r="A31" s="9" t="s">
        <v>15</v>
      </c>
      <c r="B31" s="9"/>
      <c r="C31" s="9"/>
      <c r="D31" s="9">
        <f>D29/((1+0.12)^D20)</f>
        <v>272857.14285714284</v>
      </c>
      <c r="E31" s="9">
        <f>E29/((1+0.12)^E20)</f>
        <v>243622.44897959181</v>
      </c>
      <c r="F31" s="9">
        <f>F29/((1+0.12)^F20)</f>
        <v>217520.04373177837</v>
      </c>
      <c r="G31" s="9">
        <f t="shared" ref="G31:H31" si="16">G29/((1+0.12)^G20)</f>
        <v>194214.32476051641</v>
      </c>
      <c r="H31" s="9">
        <f t="shared" si="16"/>
        <v>173405.64710760393</v>
      </c>
      <c r="I31" s="9">
        <f>SUM(D31,E31,F31,G31,H31)-C25</f>
        <v>601619.60743663344</v>
      </c>
    </row>
    <row r="32" spans="1:9" x14ac:dyDescent="0.25">
      <c r="A32" s="9" t="s">
        <v>16</v>
      </c>
      <c r="B32" s="9"/>
      <c r="C32" s="9"/>
      <c r="D32" s="9"/>
      <c r="E32" s="9"/>
      <c r="F32" s="9"/>
      <c r="G32" s="9"/>
      <c r="H32" s="9"/>
      <c r="I32" s="10">
        <f>NPV(12%,D29:I29)-C25</f>
        <v>601619.60743663344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="85" zoomScaleNormal="85" workbookViewId="0">
      <selection activeCell="I15" sqref="I15"/>
    </sheetView>
  </sheetViews>
  <sheetFormatPr defaultRowHeight="15" x14ac:dyDescent="0.25"/>
  <cols>
    <col min="1" max="1" width="17.7109375" style="1" customWidth="1"/>
    <col min="2" max="2" width="14.28515625" style="1" customWidth="1"/>
    <col min="3" max="3" width="9.140625" style="1"/>
    <col min="4" max="4" width="22.28515625" style="1" bestFit="1" customWidth="1"/>
    <col min="5" max="5" width="15.42578125" style="1" customWidth="1"/>
    <col min="6" max="6" width="12.85546875" style="1" bestFit="1" customWidth="1"/>
    <col min="7" max="8" width="9.140625" style="1"/>
    <col min="9" max="9" width="14.28515625" style="1" bestFit="1" customWidth="1"/>
    <col min="10" max="16384" width="9.140625" style="1"/>
  </cols>
  <sheetData>
    <row r="1" spans="1:10" x14ac:dyDescent="0.25">
      <c r="A1" s="1" t="s">
        <v>17</v>
      </c>
      <c r="B1" s="1">
        <v>200000</v>
      </c>
      <c r="E1" s="1" t="s">
        <v>6</v>
      </c>
      <c r="F1" s="1">
        <v>0</v>
      </c>
      <c r="G1" s="1">
        <v>1</v>
      </c>
      <c r="H1" s="1">
        <v>2</v>
      </c>
      <c r="I1" s="1">
        <v>3</v>
      </c>
    </row>
    <row r="2" spans="1:10" x14ac:dyDescent="0.25">
      <c r="A2" s="1" t="s">
        <v>18</v>
      </c>
      <c r="B2" s="1">
        <v>20000</v>
      </c>
    </row>
    <row r="3" spans="1:10" x14ac:dyDescent="0.25">
      <c r="A3" s="1" t="s">
        <v>19</v>
      </c>
      <c r="B3" s="3">
        <v>0.35</v>
      </c>
      <c r="D3" s="1" t="s">
        <v>8</v>
      </c>
    </row>
    <row r="4" spans="1:10" x14ac:dyDescent="0.25">
      <c r="A4" s="1" t="s">
        <v>20</v>
      </c>
      <c r="B4" s="1">
        <v>100000</v>
      </c>
      <c r="E4" s="1" t="s">
        <v>9</v>
      </c>
      <c r="F4" s="1">
        <v>0</v>
      </c>
      <c r="G4" s="1">
        <f>100000*B7</f>
        <v>200000</v>
      </c>
      <c r="H4" s="1">
        <f>110000*B7</f>
        <v>220000</v>
      </c>
      <c r="I4" s="1">
        <f>121000*B7</f>
        <v>242000</v>
      </c>
    </row>
    <row r="5" spans="1:10" x14ac:dyDescent="0.25">
      <c r="A5" s="1" t="s">
        <v>21</v>
      </c>
      <c r="B5" s="1">
        <f>B4+0.1*B4</f>
        <v>110000</v>
      </c>
      <c r="D5" s="1" t="s">
        <v>10</v>
      </c>
    </row>
    <row r="6" spans="1:10" x14ac:dyDescent="0.25">
      <c r="A6" s="1" t="s">
        <v>22</v>
      </c>
      <c r="B6" s="1">
        <f>B5+0.1*B5</f>
        <v>121000</v>
      </c>
      <c r="F6" s="1">
        <v>200000</v>
      </c>
      <c r="G6" s="1">
        <f>B4*B8</f>
        <v>50000</v>
      </c>
      <c r="H6" s="1">
        <f>B5*B8</f>
        <v>55000</v>
      </c>
      <c r="I6" s="1">
        <f>B6*B8</f>
        <v>60500</v>
      </c>
    </row>
    <row r="7" spans="1:10" x14ac:dyDescent="0.25">
      <c r="A7" s="1" t="s">
        <v>23</v>
      </c>
      <c r="B7" s="1">
        <v>2</v>
      </c>
      <c r="D7" s="1" t="s">
        <v>11</v>
      </c>
      <c r="G7" s="1">
        <v>60000</v>
      </c>
      <c r="H7" s="1">
        <v>60000</v>
      </c>
      <c r="I7" s="1">
        <v>60000</v>
      </c>
    </row>
    <row r="8" spans="1:10" x14ac:dyDescent="0.25">
      <c r="A8" s="1" t="s">
        <v>24</v>
      </c>
      <c r="B8" s="1">
        <v>0.5</v>
      </c>
      <c r="D8" s="1" t="s">
        <v>12</v>
      </c>
      <c r="G8" s="1">
        <f t="shared" ref="G8:I8" si="0">G4-G6-G7</f>
        <v>90000</v>
      </c>
      <c r="H8" s="1">
        <f t="shared" si="0"/>
        <v>105000</v>
      </c>
      <c r="I8" s="1">
        <f t="shared" si="0"/>
        <v>121500</v>
      </c>
    </row>
    <row r="9" spans="1:10" x14ac:dyDescent="0.25">
      <c r="A9" s="1" t="s">
        <v>25</v>
      </c>
      <c r="B9" s="3">
        <v>0.5</v>
      </c>
      <c r="D9" s="1" t="s">
        <v>27</v>
      </c>
      <c r="G9" s="1">
        <f>0.5*G8</f>
        <v>45000</v>
      </c>
      <c r="H9" s="1">
        <f t="shared" ref="H9:I9" si="1">0.5*H8</f>
        <v>52500</v>
      </c>
      <c r="I9" s="1">
        <f t="shared" si="1"/>
        <v>60750</v>
      </c>
    </row>
    <row r="10" spans="1:10" x14ac:dyDescent="0.25">
      <c r="A10" s="1" t="s">
        <v>26</v>
      </c>
      <c r="B10" s="1">
        <f>(B1-B2)/3</f>
        <v>60000</v>
      </c>
      <c r="D10" s="1" t="s">
        <v>28</v>
      </c>
      <c r="I10" s="1">
        <v>20000</v>
      </c>
    </row>
    <row r="11" spans="1:10" x14ac:dyDescent="0.25">
      <c r="D11" s="1" t="s">
        <v>14</v>
      </c>
      <c r="F11" s="1">
        <v>-200000</v>
      </c>
      <c r="G11" s="1">
        <f>G4-G6-G9</f>
        <v>105000</v>
      </c>
      <c r="H11" s="1">
        <f t="shared" ref="H11" si="2">H4-H6-H9</f>
        <v>112500</v>
      </c>
      <c r="I11" s="1">
        <f>I4-I6-I9+I10</f>
        <v>140750</v>
      </c>
      <c r="J11" s="1">
        <f>SUM(G11:I11)</f>
        <v>358250</v>
      </c>
    </row>
    <row r="12" spans="1:10" x14ac:dyDescent="0.25">
      <c r="D12" s="1" t="s">
        <v>16</v>
      </c>
      <c r="E12" s="2">
        <f>NPV(35%,G11:I11)-B1</f>
        <v>-3287.1005436163396</v>
      </c>
    </row>
    <row r="14" spans="1:10" x14ac:dyDescent="0.25">
      <c r="D14" s="4" t="s">
        <v>29</v>
      </c>
      <c r="E14" s="4" t="s">
        <v>30</v>
      </c>
      <c r="F14" s="4" t="s">
        <v>31</v>
      </c>
      <c r="G14" s="4"/>
      <c r="H14" s="4" t="s">
        <v>32</v>
      </c>
      <c r="I14" s="4">
        <f>0.33+((0.34-0.33)/(F17-F16))*F17</f>
        <v>0.33171625217583894</v>
      </c>
      <c r="J14" s="5">
        <v>0.33172000000000001</v>
      </c>
    </row>
    <row r="15" spans="1:10" x14ac:dyDescent="0.25">
      <c r="D15" s="4">
        <v>0.32</v>
      </c>
      <c r="E15" s="4">
        <f>NPV(32%,G11:I11)</f>
        <v>205308.07385146225</v>
      </c>
      <c r="F15" s="4">
        <f>NPV(32%,G11:I11)-B1</f>
        <v>5308.0738514622499</v>
      </c>
      <c r="G15" s="4"/>
      <c r="H15" s="4" t="s">
        <v>33</v>
      </c>
      <c r="I15" s="4">
        <f>IRR(F11:I11)</f>
        <v>0.3382663215097137</v>
      </c>
    </row>
    <row r="16" spans="1:10" x14ac:dyDescent="0.25">
      <c r="D16" s="4">
        <v>0.33</v>
      </c>
      <c r="E16" s="4">
        <f>NPV(33%,G11:I11)</f>
        <v>202372.69923069305</v>
      </c>
      <c r="F16" s="4">
        <f>NPV(33%,G11:I11)-B1</f>
        <v>2372.6992306930479</v>
      </c>
      <c r="G16" s="4"/>
      <c r="H16" s="4"/>
      <c r="I16" s="4"/>
    </row>
    <row r="17" spans="4:9" x14ac:dyDescent="0.25">
      <c r="D17" s="4">
        <v>0.34</v>
      </c>
      <c r="E17" s="4">
        <f>NPV(34%,G11:I11)</f>
        <v>199508.41692628412</v>
      </c>
      <c r="F17" s="4">
        <f>NPV(34%,G11:I11)-B1</f>
        <v>-491.58307371588307</v>
      </c>
      <c r="G17" s="4"/>
      <c r="H17" s="4"/>
      <c r="I17" s="4"/>
    </row>
    <row r="18" spans="4:9" x14ac:dyDescent="0.25">
      <c r="D18" s="4">
        <v>0.35</v>
      </c>
      <c r="E18" s="4">
        <f>NPV(35%,G11:I11)</f>
        <v>196712.89945638366</v>
      </c>
      <c r="F18" s="4">
        <f>NPV(35%,G11:I11)-B1</f>
        <v>-3287.1005436163396</v>
      </c>
      <c r="G18" s="4"/>
      <c r="H18" s="4"/>
      <c r="I18" s="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topLeftCell="B1" zoomScale="85" zoomScaleNormal="85" workbookViewId="0">
      <selection activeCell="S30" sqref="S30"/>
    </sheetView>
  </sheetViews>
  <sheetFormatPr defaultRowHeight="15" x14ac:dyDescent="0.25"/>
  <cols>
    <col min="1" max="1" width="33" style="1" bestFit="1" customWidth="1"/>
    <col min="2" max="2" width="9.140625" style="1"/>
    <col min="3" max="3" width="10" style="1" bestFit="1" customWidth="1"/>
    <col min="4" max="4" width="9.140625" style="1"/>
    <col min="5" max="5" width="27.85546875" style="1" bestFit="1" customWidth="1"/>
    <col min="6" max="6" width="10.42578125" style="1" bestFit="1" customWidth="1"/>
    <col min="7" max="9" width="10.5703125" style="1" bestFit="1" customWidth="1"/>
    <col min="10" max="10" width="4.85546875" style="1" bestFit="1" customWidth="1"/>
    <col min="11" max="11" width="21.140625" style="1" bestFit="1" customWidth="1"/>
    <col min="12" max="13" width="9.140625" style="1"/>
    <col min="14" max="14" width="11.140625" style="1" bestFit="1" customWidth="1"/>
    <col min="15" max="15" width="11.7109375" style="1" bestFit="1" customWidth="1"/>
    <col min="16" max="16" width="12.85546875" style="1" bestFit="1" customWidth="1"/>
    <col min="17" max="17" width="9.7109375" style="1" bestFit="1" customWidth="1"/>
    <col min="18" max="18" width="9.140625" style="1"/>
    <col min="19" max="19" width="11.7109375" style="1" bestFit="1" customWidth="1"/>
    <col min="20" max="16384" width="9.140625" style="1"/>
  </cols>
  <sheetData>
    <row r="1" spans="1:21" x14ac:dyDescent="0.25"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1" x14ac:dyDescent="0.25">
      <c r="B2" s="1">
        <v>1</v>
      </c>
      <c r="C2" s="1">
        <v>2</v>
      </c>
      <c r="D2" s="6"/>
      <c r="E2" s="14" t="s">
        <v>6</v>
      </c>
      <c r="F2" s="14"/>
      <c r="G2" s="14">
        <v>1</v>
      </c>
      <c r="H2" s="14">
        <v>2</v>
      </c>
      <c r="I2" s="14"/>
      <c r="J2" s="6"/>
      <c r="K2" s="6"/>
      <c r="L2" s="12"/>
      <c r="M2" s="6" t="s">
        <v>49</v>
      </c>
      <c r="N2" s="6" t="s">
        <v>47</v>
      </c>
      <c r="O2" s="6" t="s">
        <v>48</v>
      </c>
      <c r="P2" s="6"/>
      <c r="Q2" s="6"/>
      <c r="R2" s="6"/>
      <c r="S2" s="6"/>
      <c r="T2" s="6"/>
      <c r="U2" s="6"/>
    </row>
    <row r="3" spans="1:21" x14ac:dyDescent="0.25">
      <c r="A3" s="1" t="s">
        <v>34</v>
      </c>
      <c r="B3" s="1">
        <v>20000</v>
      </c>
      <c r="C3" s="1">
        <v>23000</v>
      </c>
      <c r="D3" s="6"/>
      <c r="E3" s="14" t="s">
        <v>8</v>
      </c>
      <c r="F3" s="14"/>
      <c r="G3" s="14"/>
      <c r="H3" s="14"/>
      <c r="I3" s="14"/>
      <c r="J3" s="6"/>
      <c r="K3" s="6"/>
      <c r="L3" s="12"/>
      <c r="M3" s="6"/>
      <c r="N3" s="6" t="s">
        <v>15</v>
      </c>
      <c r="O3" s="6" t="s">
        <v>15</v>
      </c>
      <c r="P3" s="6"/>
      <c r="Q3" s="6"/>
      <c r="R3" s="6"/>
      <c r="S3" s="6"/>
      <c r="T3" s="6"/>
      <c r="U3" s="6"/>
    </row>
    <row r="4" spans="1:21" x14ac:dyDescent="0.25">
      <c r="A4" s="1" t="s">
        <v>35</v>
      </c>
      <c r="B4" s="1">
        <v>0.9</v>
      </c>
      <c r="C4" s="1">
        <v>1</v>
      </c>
      <c r="D4" s="6"/>
      <c r="E4" s="14"/>
      <c r="F4" s="14" t="s">
        <v>9</v>
      </c>
      <c r="G4" s="14">
        <f>B3*B5</f>
        <v>40000</v>
      </c>
      <c r="H4" s="14">
        <f>C3*C5</f>
        <v>46000</v>
      </c>
      <c r="I4" s="14"/>
      <c r="J4" s="6"/>
      <c r="K4" s="6"/>
      <c r="L4" s="12"/>
      <c r="M4" s="6">
        <v>0.1</v>
      </c>
      <c r="N4" s="6">
        <f t="shared" ref="N4:N14" si="0">NPV(M4,$G$14:$H$14)+$F$14</f>
        <v>8010.3305785123812</v>
      </c>
      <c r="O4" s="6">
        <f t="shared" ref="O4:O16" si="1">NPV(M4,$G$28:$H$28)+$F$14</f>
        <v>10644.62809917354</v>
      </c>
      <c r="P4" s="6"/>
      <c r="Q4" s="6"/>
      <c r="R4" s="6"/>
      <c r="S4" s="6"/>
      <c r="T4" s="6"/>
      <c r="U4" s="6"/>
    </row>
    <row r="5" spans="1:21" x14ac:dyDescent="0.25">
      <c r="A5" s="1" t="s">
        <v>36</v>
      </c>
      <c r="B5" s="1">
        <v>2</v>
      </c>
      <c r="C5" s="1">
        <v>2</v>
      </c>
      <c r="D5" s="6"/>
      <c r="E5" s="14" t="s">
        <v>10</v>
      </c>
      <c r="F5" s="14"/>
      <c r="G5" s="14"/>
      <c r="H5" s="14"/>
      <c r="I5" s="14"/>
      <c r="J5" s="6"/>
      <c r="K5" s="6"/>
      <c r="L5" s="12"/>
      <c r="M5" s="6">
        <v>0.11</v>
      </c>
      <c r="N5" s="6">
        <f t="shared" si="0"/>
        <v>6757.8524470416305</v>
      </c>
      <c r="O5" s="6">
        <f t="shared" si="1"/>
        <v>9341.8553688823886</v>
      </c>
      <c r="P5" s="6"/>
      <c r="Q5" s="6"/>
      <c r="R5" s="6"/>
      <c r="S5" s="6"/>
      <c r="T5" s="6"/>
      <c r="U5" s="6"/>
    </row>
    <row r="6" spans="1:21" x14ac:dyDescent="0.25">
      <c r="A6" s="1" t="s">
        <v>37</v>
      </c>
      <c r="B6" s="1">
        <v>2500</v>
      </c>
      <c r="C6" s="1">
        <f>2700+4000</f>
        <v>6700</v>
      </c>
      <c r="D6" s="6"/>
      <c r="E6" s="14"/>
      <c r="F6" s="14"/>
      <c r="G6" s="14">
        <f>B3*B4+B6</f>
        <v>20500</v>
      </c>
      <c r="H6" s="14">
        <f>C3*C4+C6</f>
        <v>29700</v>
      </c>
      <c r="I6" s="14"/>
      <c r="J6" s="6"/>
      <c r="K6" s="6"/>
      <c r="L6" s="12"/>
      <c r="M6" s="6">
        <v>0.12</v>
      </c>
      <c r="N6" s="6">
        <f t="shared" si="0"/>
        <v>5538.424744897944</v>
      </c>
      <c r="O6" s="6">
        <f t="shared" si="1"/>
        <v>8073.5012755101925</v>
      </c>
      <c r="P6" s="6"/>
      <c r="Q6" s="6"/>
      <c r="R6" s="6"/>
      <c r="S6" s="6"/>
      <c r="T6" s="6"/>
      <c r="U6" s="6"/>
    </row>
    <row r="7" spans="1:21" x14ac:dyDescent="0.25">
      <c r="A7" s="1" t="s">
        <v>38</v>
      </c>
      <c r="B7" s="1">
        <v>13000</v>
      </c>
      <c r="C7" s="1">
        <v>14000</v>
      </c>
      <c r="D7" s="6"/>
      <c r="E7" s="14" t="s">
        <v>11</v>
      </c>
      <c r="F7" s="14"/>
      <c r="G7" s="14">
        <f>64000/5</f>
        <v>12800</v>
      </c>
      <c r="H7" s="14">
        <f>64000/5</f>
        <v>12800</v>
      </c>
      <c r="I7" s="14"/>
      <c r="J7" s="6"/>
      <c r="K7" s="6"/>
      <c r="L7" s="12"/>
      <c r="M7" s="6">
        <v>0.13</v>
      </c>
      <c r="N7" s="6">
        <f t="shared" si="0"/>
        <v>4350.8888714856439</v>
      </c>
      <c r="O7" s="6">
        <f t="shared" si="1"/>
        <v>6838.3585245516588</v>
      </c>
      <c r="P7" s="6"/>
      <c r="Q7" s="6"/>
      <c r="R7" s="6"/>
      <c r="S7" s="6"/>
      <c r="T7" s="6"/>
      <c r="U7" s="6"/>
    </row>
    <row r="8" spans="1:21" x14ac:dyDescent="0.25">
      <c r="D8" s="6"/>
      <c r="E8" s="14" t="s">
        <v>12</v>
      </c>
      <c r="F8" s="14"/>
      <c r="G8" s="14">
        <f t="shared" ref="G8:H8" si="2">G4-G6-G7</f>
        <v>6700</v>
      </c>
      <c r="H8" s="14">
        <f t="shared" si="2"/>
        <v>3500</v>
      </c>
      <c r="I8" s="14"/>
      <c r="J8" s="6"/>
      <c r="K8" s="6"/>
      <c r="L8" s="12"/>
      <c r="M8" s="6">
        <v>0.14000000000000001</v>
      </c>
      <c r="N8" s="6">
        <f t="shared" si="0"/>
        <v>3194.1366574330459</v>
      </c>
      <c r="O8" s="6">
        <f t="shared" si="1"/>
        <v>5635.2723915050738</v>
      </c>
      <c r="P8" s="6"/>
      <c r="Q8" s="6"/>
      <c r="R8" s="6"/>
      <c r="S8" s="6"/>
      <c r="T8" s="6"/>
      <c r="U8" s="6"/>
    </row>
    <row r="9" spans="1:21" x14ac:dyDescent="0.25">
      <c r="B9" s="1">
        <v>1</v>
      </c>
      <c r="C9" s="1">
        <v>2</v>
      </c>
      <c r="D9" s="6"/>
      <c r="E9" s="14" t="s">
        <v>42</v>
      </c>
      <c r="F9" s="14"/>
      <c r="G9" s="14">
        <f>0.25*G8</f>
        <v>1675</v>
      </c>
      <c r="H9" s="14">
        <f>0.25*H8</f>
        <v>875</v>
      </c>
      <c r="I9" s="14"/>
      <c r="J9" s="6"/>
      <c r="K9" s="6"/>
      <c r="L9" s="12"/>
      <c r="M9" s="6">
        <v>0.15</v>
      </c>
      <c r="N9" s="6">
        <f t="shared" si="0"/>
        <v>2067.1077504725981</v>
      </c>
      <c r="O9" s="6">
        <f t="shared" si="1"/>
        <v>4463.1379962192877</v>
      </c>
      <c r="P9" s="6"/>
      <c r="Q9" s="6"/>
      <c r="R9" s="6"/>
      <c r="S9" s="6"/>
      <c r="T9" s="6"/>
      <c r="U9" s="6"/>
    </row>
    <row r="10" spans="1:21" x14ac:dyDescent="0.25">
      <c r="A10" s="1" t="s">
        <v>34</v>
      </c>
      <c r="B10" s="1">
        <v>16000</v>
      </c>
      <c r="C10" s="1">
        <v>19000</v>
      </c>
      <c r="D10" s="6"/>
      <c r="E10" s="14" t="s">
        <v>14</v>
      </c>
      <c r="F10" s="14"/>
      <c r="G10" s="14">
        <f t="shared" ref="G10:H10" si="3">G4-G6-G9</f>
        <v>17825</v>
      </c>
      <c r="H10" s="14">
        <f t="shared" si="3"/>
        <v>15425</v>
      </c>
      <c r="I10" s="14"/>
      <c r="J10" s="6"/>
      <c r="K10" s="6"/>
      <c r="L10" s="12"/>
      <c r="M10" s="6">
        <v>0.16</v>
      </c>
      <c r="N10" s="6">
        <f t="shared" si="0"/>
        <v>968.78715814506722</v>
      </c>
      <c r="O10" s="6">
        <f t="shared" si="1"/>
        <v>3320.8977407847851</v>
      </c>
      <c r="P10" s="6"/>
      <c r="Q10" s="6"/>
      <c r="R10" s="6"/>
      <c r="S10" s="6"/>
      <c r="T10" s="6"/>
      <c r="U10" s="6"/>
    </row>
    <row r="11" spans="1:21" x14ac:dyDescent="0.25">
      <c r="A11" s="1" t="s">
        <v>35</v>
      </c>
      <c r="B11" s="1">
        <v>1.2</v>
      </c>
      <c r="C11" s="1">
        <v>1.3</v>
      </c>
      <c r="D11" s="6"/>
      <c r="E11" s="14" t="s">
        <v>43</v>
      </c>
      <c r="F11" s="14"/>
      <c r="G11" s="14">
        <v>13000</v>
      </c>
      <c r="H11" s="14">
        <v>14000</v>
      </c>
      <c r="I11" s="14"/>
      <c r="J11" s="6"/>
      <c r="K11" s="6"/>
      <c r="L11" s="12"/>
      <c r="M11" s="6">
        <v>0.17</v>
      </c>
      <c r="N11" s="6">
        <f t="shared" si="0"/>
        <v>-101.79706333552167</v>
      </c>
      <c r="O11" s="6">
        <f t="shared" si="1"/>
        <v>2207.5388998465933</v>
      </c>
      <c r="P11" s="6"/>
      <c r="Q11" s="6"/>
      <c r="R11" s="6"/>
      <c r="S11" s="6"/>
      <c r="T11" s="6"/>
      <c r="U11" s="6"/>
    </row>
    <row r="12" spans="1:21" x14ac:dyDescent="0.25">
      <c r="A12" s="1" t="s">
        <v>36</v>
      </c>
      <c r="B12" s="1">
        <v>2.5</v>
      </c>
      <c r="C12" s="1">
        <v>2.7</v>
      </c>
      <c r="D12" s="6"/>
      <c r="E12" s="14" t="s">
        <v>28</v>
      </c>
      <c r="F12" s="14"/>
      <c r="G12" s="14">
        <v>0</v>
      </c>
      <c r="H12" s="14">
        <v>38400</v>
      </c>
      <c r="I12" s="14"/>
      <c r="J12" s="6"/>
      <c r="K12" s="6"/>
      <c r="L12" s="12"/>
      <c r="M12" s="6">
        <v>0.18</v>
      </c>
      <c r="N12" s="6">
        <f t="shared" si="0"/>
        <v>-1145.5759839126622</v>
      </c>
      <c r="O12" s="6">
        <f t="shared" si="1"/>
        <v>1122.0913530594771</v>
      </c>
      <c r="P12" s="6"/>
      <c r="Q12" s="6"/>
      <c r="R12" s="6"/>
      <c r="S12" s="6"/>
      <c r="T12" s="6"/>
      <c r="U12" s="6"/>
    </row>
    <row r="13" spans="1:21" x14ac:dyDescent="0.25">
      <c r="A13" s="1" t="s">
        <v>37</v>
      </c>
      <c r="B13" s="1">
        <v>1800</v>
      </c>
      <c r="C13" s="1">
        <f>1500+4000</f>
        <v>5500</v>
      </c>
      <c r="D13" s="6"/>
      <c r="E13" s="14" t="s">
        <v>45</v>
      </c>
      <c r="F13" s="14"/>
      <c r="G13" s="14"/>
      <c r="H13" s="14">
        <v>14000</v>
      </c>
      <c r="I13" s="14"/>
      <c r="J13" s="6"/>
      <c r="K13" s="6"/>
      <c r="L13" s="12"/>
      <c r="M13" s="6">
        <v>0.19</v>
      </c>
      <c r="N13" s="6">
        <f t="shared" si="0"/>
        <v>-2163.4418473271653</v>
      </c>
      <c r="O13" s="6">
        <f t="shared" si="1"/>
        <v>63.625450180079497</v>
      </c>
      <c r="P13" s="6"/>
      <c r="Q13" s="6"/>
      <c r="R13" s="6"/>
      <c r="S13" s="6"/>
      <c r="T13" s="6"/>
      <c r="U13" s="6"/>
    </row>
    <row r="14" spans="1:21" x14ac:dyDescent="0.25">
      <c r="A14" s="1" t="s">
        <v>38</v>
      </c>
      <c r="B14" s="1">
        <v>13000</v>
      </c>
      <c r="C14" s="1">
        <v>14000</v>
      </c>
      <c r="D14" s="6"/>
      <c r="E14" s="14" t="s">
        <v>46</v>
      </c>
      <c r="F14" s="14">
        <v>-64000</v>
      </c>
      <c r="G14" s="14">
        <f>G4-G6-G9-G11+G12+G13</f>
        <v>4825</v>
      </c>
      <c r="H14" s="14">
        <f>+H4-H6-H9+(H11)+H12+H13</f>
        <v>81825</v>
      </c>
      <c r="I14" s="14">
        <f>SUM(G14:H14)</f>
        <v>86650</v>
      </c>
      <c r="J14" s="6"/>
      <c r="K14" s="6"/>
      <c r="L14" s="12"/>
      <c r="M14" s="6">
        <v>0.2</v>
      </c>
      <c r="N14" s="6">
        <f t="shared" si="0"/>
        <v>-3156.25</v>
      </c>
      <c r="O14" s="6">
        <f t="shared" si="1"/>
        <v>-968.75</v>
      </c>
      <c r="P14" s="6"/>
      <c r="Q14" s="6"/>
      <c r="R14" s="6"/>
      <c r="S14" s="6"/>
      <c r="T14" s="6"/>
      <c r="U14" s="6"/>
    </row>
    <row r="15" spans="1:21" x14ac:dyDescent="0.25">
      <c r="D15" s="6"/>
      <c r="E15" s="6" t="s">
        <v>50</v>
      </c>
      <c r="G15" s="12"/>
      <c r="H15" s="6"/>
      <c r="I15" s="13">
        <f>NPV(8%,G14:H14)+F14</f>
        <v>10619.341563786002</v>
      </c>
      <c r="J15" s="6"/>
      <c r="K15" s="6"/>
      <c r="L15" s="6"/>
      <c r="M15" s="6">
        <v>0.21</v>
      </c>
      <c r="N15" s="6">
        <f t="shared" ref="N15:N16" si="4">NPV(M15,$G$14:$H$14)+$F$14</f>
        <v>-4124.8207089679636</v>
      </c>
      <c r="O15" s="6">
        <f t="shared" si="1"/>
        <v>-1975.8896250256075</v>
      </c>
      <c r="P15" s="6"/>
      <c r="Q15" s="6"/>
      <c r="R15" s="6"/>
      <c r="S15" s="6"/>
      <c r="T15" s="6"/>
      <c r="U15" s="6"/>
    </row>
    <row r="16" spans="1:21" x14ac:dyDescent="0.25">
      <c r="A16" s="1" t="s">
        <v>39</v>
      </c>
      <c r="B16" s="3">
        <v>0.25</v>
      </c>
      <c r="D16" s="6"/>
      <c r="E16" s="6" t="s">
        <v>15</v>
      </c>
      <c r="F16" s="6"/>
      <c r="G16" s="6">
        <f>G14/((1+0.08)^G2)</f>
        <v>4467.5925925925922</v>
      </c>
      <c r="H16" s="6">
        <f>H14/((1+0.08)^H2)</f>
        <v>70151.748971193403</v>
      </c>
      <c r="I16" s="11">
        <f>SUM(G16:H16)+F14</f>
        <v>10619.341563786002</v>
      </c>
      <c r="J16" s="6"/>
      <c r="K16" s="6"/>
      <c r="L16" s="12"/>
      <c r="M16" s="6">
        <v>0.22</v>
      </c>
      <c r="N16" s="6">
        <f t="shared" si="4"/>
        <v>-5069.9408761085724</v>
      </c>
      <c r="O16" s="6">
        <f t="shared" si="1"/>
        <v>-2958.613276001066</v>
      </c>
      <c r="P16" s="6"/>
      <c r="Q16" s="6"/>
      <c r="R16" s="6"/>
      <c r="S16" s="6"/>
      <c r="T16" s="6"/>
      <c r="U16" s="6"/>
    </row>
    <row r="17" spans="1:21" x14ac:dyDescent="0.25">
      <c r="A17" s="1" t="s">
        <v>40</v>
      </c>
      <c r="B17" s="1">
        <v>5</v>
      </c>
      <c r="D17" s="6"/>
      <c r="E17" s="13" t="s">
        <v>8</v>
      </c>
      <c r="F17" s="13"/>
      <c r="G17" s="13"/>
      <c r="H17" s="13"/>
      <c r="I17" s="13"/>
      <c r="J17" s="6"/>
      <c r="K17" s="6"/>
      <c r="L17" s="12"/>
      <c r="M17" s="6"/>
      <c r="N17" s="6"/>
      <c r="O17" s="6"/>
      <c r="P17" s="6"/>
      <c r="Q17" s="6"/>
      <c r="R17" s="6"/>
      <c r="S17" s="6"/>
      <c r="T17" s="6"/>
      <c r="U17" s="6"/>
    </row>
    <row r="18" spans="1:21" x14ac:dyDescent="0.25">
      <c r="A18" s="1" t="s">
        <v>41</v>
      </c>
      <c r="B18" s="1">
        <f>64000/5</f>
        <v>12800</v>
      </c>
      <c r="D18" s="6"/>
      <c r="E18" s="13"/>
      <c r="F18" s="13" t="s">
        <v>9</v>
      </c>
      <c r="G18" s="13">
        <f>B10*B12</f>
        <v>40000</v>
      </c>
      <c r="H18" s="13">
        <f>C10*C12</f>
        <v>51300</v>
      </c>
      <c r="I18" s="13"/>
      <c r="J18" s="6"/>
      <c r="K18" s="6"/>
      <c r="L18" s="12"/>
      <c r="M18" s="6"/>
      <c r="N18" s="6"/>
      <c r="O18" s="6"/>
      <c r="P18" s="6"/>
      <c r="Q18" s="6"/>
      <c r="R18" s="6"/>
      <c r="S18" s="6"/>
      <c r="T18" s="6"/>
      <c r="U18" s="6"/>
    </row>
    <row r="19" spans="1:21" x14ac:dyDescent="0.25">
      <c r="A19" s="1" t="s">
        <v>44</v>
      </c>
      <c r="B19" s="1">
        <f>64000-2*B18</f>
        <v>38400</v>
      </c>
      <c r="D19" s="6"/>
      <c r="E19" s="13" t="s">
        <v>10</v>
      </c>
      <c r="F19" s="13"/>
      <c r="G19" s="13"/>
      <c r="H19" s="13"/>
      <c r="I19" s="13"/>
      <c r="J19" s="6"/>
      <c r="K19" s="6"/>
      <c r="L19" s="12"/>
      <c r="M19" s="6"/>
      <c r="N19" s="6"/>
      <c r="O19" s="6"/>
      <c r="P19" s="6"/>
      <c r="Q19" s="6"/>
      <c r="R19" s="6"/>
      <c r="S19" s="6"/>
      <c r="T19" s="6"/>
      <c r="U19" s="6"/>
    </row>
    <row r="20" spans="1:21" x14ac:dyDescent="0.25">
      <c r="A20" s="1" t="s">
        <v>29</v>
      </c>
      <c r="B20" s="3">
        <v>0.08</v>
      </c>
      <c r="D20" s="6"/>
      <c r="E20" s="13"/>
      <c r="F20" s="13"/>
      <c r="G20" s="13">
        <f>B10*B11+B13</f>
        <v>21000</v>
      </c>
      <c r="H20" s="13">
        <f>C10*C11+C13</f>
        <v>30200</v>
      </c>
      <c r="I20" s="13"/>
      <c r="J20" s="6"/>
      <c r="K20" s="6"/>
      <c r="L20" s="12"/>
      <c r="M20" s="6"/>
      <c r="N20" s="6"/>
      <c r="O20" s="6"/>
      <c r="P20" s="6"/>
      <c r="Q20" s="6"/>
      <c r="R20" s="6"/>
      <c r="S20" s="6"/>
      <c r="T20" s="6"/>
      <c r="U20" s="6"/>
    </row>
    <row r="21" spans="1:21" x14ac:dyDescent="0.25">
      <c r="D21" s="6"/>
      <c r="E21" s="13" t="s">
        <v>11</v>
      </c>
      <c r="F21" s="13"/>
      <c r="G21" s="13">
        <f>64000/5</f>
        <v>12800</v>
      </c>
      <c r="H21" s="13">
        <f>64000/5</f>
        <v>12800</v>
      </c>
      <c r="I21" s="13"/>
      <c r="J21" s="6"/>
      <c r="K21" s="6"/>
      <c r="L21" s="12"/>
      <c r="M21" s="6"/>
      <c r="N21" s="6"/>
      <c r="O21" s="6"/>
      <c r="P21" s="6"/>
      <c r="Q21" s="6"/>
      <c r="R21" s="6"/>
      <c r="S21" s="6"/>
      <c r="T21" s="6"/>
      <c r="U21" s="6"/>
    </row>
    <row r="22" spans="1:21" x14ac:dyDescent="0.25">
      <c r="D22" s="6"/>
      <c r="E22" s="13" t="s">
        <v>12</v>
      </c>
      <c r="F22" s="13"/>
      <c r="G22" s="13">
        <f t="shared" ref="G22:H22" si="5">G18-G20-G21</f>
        <v>6200</v>
      </c>
      <c r="H22" s="13">
        <f t="shared" si="5"/>
        <v>8300</v>
      </c>
      <c r="I22" s="13"/>
      <c r="J22" s="6"/>
      <c r="K22" s="6"/>
      <c r="L22" s="12"/>
      <c r="M22" s="6"/>
      <c r="N22" s="6"/>
      <c r="O22" s="6"/>
      <c r="P22" s="6"/>
      <c r="Q22" s="6"/>
      <c r="R22" s="6"/>
      <c r="S22" s="6"/>
      <c r="T22" s="6"/>
      <c r="U22" s="6"/>
    </row>
    <row r="23" spans="1:21" x14ac:dyDescent="0.25">
      <c r="D23" s="6"/>
      <c r="E23" s="13" t="s">
        <v>42</v>
      </c>
      <c r="F23" s="13"/>
      <c r="G23" s="13">
        <f>0.25*G22</f>
        <v>1550</v>
      </c>
      <c r="H23" s="13">
        <f>0.25*H22</f>
        <v>2075</v>
      </c>
      <c r="I23" s="13"/>
      <c r="J23" s="6"/>
      <c r="K23" s="6"/>
      <c r="L23" s="12"/>
      <c r="M23" s="6"/>
      <c r="N23" s="6"/>
      <c r="O23" s="6"/>
      <c r="P23" s="6"/>
      <c r="Q23" s="6"/>
      <c r="R23" s="6"/>
      <c r="S23" s="6"/>
      <c r="T23" s="6"/>
      <c r="U23" s="6"/>
    </row>
    <row r="24" spans="1:21" x14ac:dyDescent="0.25">
      <c r="D24" s="6"/>
      <c r="E24" s="13" t="s">
        <v>14</v>
      </c>
      <c r="F24" s="13"/>
      <c r="G24" s="13">
        <f t="shared" ref="G24:H24" si="6">G18-G20-G23</f>
        <v>17450</v>
      </c>
      <c r="H24" s="13">
        <f t="shared" si="6"/>
        <v>19025</v>
      </c>
      <c r="I24" s="13"/>
      <c r="J24" s="6"/>
      <c r="K24" s="6"/>
      <c r="L24" s="12"/>
      <c r="M24" s="6"/>
      <c r="N24" s="6"/>
      <c r="O24" s="6"/>
      <c r="P24" s="6"/>
      <c r="Q24" s="6"/>
      <c r="R24" s="6"/>
      <c r="S24" s="6"/>
      <c r="T24" s="6"/>
      <c r="U24" s="6"/>
    </row>
    <row r="25" spans="1:21" x14ac:dyDescent="0.25">
      <c r="D25" s="6"/>
      <c r="E25" s="13" t="s">
        <v>43</v>
      </c>
      <c r="F25" s="13"/>
      <c r="G25" s="13">
        <v>13000</v>
      </c>
      <c r="H25" s="13">
        <v>14000</v>
      </c>
      <c r="I25" s="13"/>
      <c r="J25" s="6"/>
      <c r="K25" s="6"/>
      <c r="L25" s="12"/>
      <c r="M25" s="12"/>
      <c r="N25" s="12"/>
      <c r="O25" s="12"/>
      <c r="P25" s="12"/>
      <c r="Q25" s="12"/>
      <c r="R25" s="12"/>
      <c r="S25" s="12"/>
      <c r="T25" s="12"/>
      <c r="U25" s="6"/>
    </row>
    <row r="26" spans="1:21" x14ac:dyDescent="0.25">
      <c r="D26" s="6"/>
      <c r="E26" s="13" t="s">
        <v>28</v>
      </c>
      <c r="F26" s="13"/>
      <c r="G26" s="13">
        <v>0</v>
      </c>
      <c r="H26" s="13">
        <v>38400</v>
      </c>
      <c r="I26" s="13"/>
      <c r="J26" s="6"/>
      <c r="K26" s="6"/>
      <c r="L26" s="12"/>
      <c r="M26" s="12"/>
      <c r="N26" s="12"/>
      <c r="O26" s="12"/>
      <c r="P26" s="12"/>
      <c r="Q26" s="12"/>
      <c r="R26" s="12"/>
      <c r="S26" s="12"/>
      <c r="T26" s="12"/>
      <c r="U26" s="6"/>
    </row>
    <row r="27" spans="1:21" x14ac:dyDescent="0.25">
      <c r="D27" s="6"/>
      <c r="E27" s="13" t="s">
        <v>45</v>
      </c>
      <c r="F27" s="13"/>
      <c r="G27" s="13"/>
      <c r="H27" s="13">
        <v>14000</v>
      </c>
      <c r="I27" s="13"/>
      <c r="J27" s="6"/>
      <c r="K27" s="6"/>
      <c r="L27" s="12"/>
      <c r="M27" s="12"/>
      <c r="N27" s="12"/>
      <c r="O27" s="12"/>
      <c r="P27" s="12"/>
      <c r="Q27" s="12"/>
      <c r="R27" s="12"/>
      <c r="S27" s="12"/>
      <c r="T27" s="12"/>
      <c r="U27" s="6"/>
    </row>
    <row r="28" spans="1:21" x14ac:dyDescent="0.25">
      <c r="D28" s="6"/>
      <c r="E28" s="13" t="s">
        <v>46</v>
      </c>
      <c r="F28" s="13">
        <v>-64000</v>
      </c>
      <c r="G28" s="13">
        <f>G18-G20-G23-G25+G26+G27</f>
        <v>4450</v>
      </c>
      <c r="H28" s="13">
        <f>+H18-H20-H23+(H25)+H26+H27</f>
        <v>85425</v>
      </c>
      <c r="I28" s="13">
        <f>SUM(G28:H28)</f>
        <v>89875</v>
      </c>
      <c r="J28" s="6"/>
      <c r="K28" s="6"/>
      <c r="L28" s="12"/>
      <c r="M28" s="12"/>
      <c r="N28" s="12"/>
      <c r="O28" s="12"/>
      <c r="P28" s="12"/>
      <c r="Q28" s="12"/>
      <c r="R28" s="12"/>
      <c r="S28" s="12"/>
      <c r="T28" s="12"/>
      <c r="U28" s="6"/>
    </row>
    <row r="29" spans="1:21" x14ac:dyDescent="0.25">
      <c r="D29" s="6"/>
      <c r="E29" s="6" t="s">
        <v>50</v>
      </c>
      <c r="G29" s="6"/>
      <c r="H29" s="6"/>
      <c r="I29" s="13">
        <f>NPV(8%,G28:H28)+F28</f>
        <v>13358.539094650201</v>
      </c>
      <c r="L29" s="12"/>
      <c r="M29" s="12"/>
      <c r="N29" s="12"/>
      <c r="O29" s="12"/>
      <c r="P29" s="12"/>
      <c r="Q29" s="12"/>
      <c r="R29" s="12"/>
      <c r="S29" s="12"/>
      <c r="T29" s="12"/>
      <c r="U29" s="6"/>
    </row>
    <row r="30" spans="1:21" x14ac:dyDescent="0.25">
      <c r="D30" s="6"/>
      <c r="E30" s="6" t="s">
        <v>15</v>
      </c>
      <c r="F30" s="6"/>
      <c r="G30" s="6">
        <f>G28/((1+0.08)^G2)</f>
        <v>4120.3703703703704</v>
      </c>
      <c r="H30" s="6">
        <f>H28/((1+0.08)^H2)</f>
        <v>73238.168724279836</v>
      </c>
      <c r="I30" s="11">
        <f>SUM(G30:H30)+F28</f>
        <v>13358.539094650201</v>
      </c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 spans="1:21" x14ac:dyDescent="0.25"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</row>
    <row r="32" spans="1:21" x14ac:dyDescent="0.25"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4:21" x14ac:dyDescent="0.25"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Askisi1</vt:lpstr>
      <vt:lpstr>Askisi2</vt:lpstr>
      <vt:lpstr>Askisi3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2020-04-25T18:03:23Z</dcterms:modified>
</cp:coreProperties>
</file>