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6815" windowHeight="7755"/>
  </bookViews>
  <sheets>
    <sheet name="Sheet1" sheetId="2" r:id="rId1"/>
    <sheet name="Sheet2" sheetId="5" r:id="rId2"/>
    <sheet name="Φύλλο1" sheetId="6" r:id="rId3"/>
    <sheet name="Sheet3" sheetId="4" r:id="rId4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8" i="2" l="1"/>
  <c r="M16" i="2"/>
  <c r="J16" i="2"/>
  <c r="I16" i="2"/>
  <c r="I15" i="2"/>
  <c r="J15" i="2"/>
  <c r="J7" i="2"/>
  <c r="I7" i="2"/>
  <c r="H15" i="2"/>
  <c r="G63" i="2"/>
  <c r="G64" i="2"/>
  <c r="G65" i="2"/>
  <c r="G66" i="2"/>
  <c r="I66" i="2"/>
  <c r="G67" i="2"/>
  <c r="G71" i="2"/>
  <c r="G72" i="2"/>
  <c r="G73" i="2"/>
  <c r="G74" i="2"/>
  <c r="G75" i="2"/>
  <c r="G78" i="2"/>
  <c r="G79" i="2"/>
  <c r="G80" i="2"/>
  <c r="G81" i="2"/>
  <c r="G85" i="2"/>
  <c r="G86" i="2"/>
  <c r="G87" i="2"/>
  <c r="G88" i="2"/>
  <c r="G92" i="2"/>
  <c r="G93" i="2"/>
  <c r="G94" i="2"/>
  <c r="G95" i="2"/>
  <c r="I95" i="2"/>
  <c r="G96" i="2"/>
  <c r="G100" i="2"/>
  <c r="G101" i="2"/>
  <c r="G102" i="2"/>
  <c r="G103" i="2"/>
  <c r="G104" i="2"/>
  <c r="G107" i="2"/>
  <c r="G108" i="2"/>
  <c r="G109" i="2"/>
  <c r="G110" i="2"/>
  <c r="G114" i="2"/>
  <c r="G115" i="2"/>
  <c r="G116" i="2"/>
  <c r="G117" i="2"/>
  <c r="G59" i="2" l="1"/>
  <c r="G58" i="2"/>
  <c r="G57" i="2"/>
  <c r="G56" i="2"/>
  <c r="G52" i="2"/>
  <c r="G51" i="2"/>
  <c r="G50" i="2"/>
  <c r="G49" i="2"/>
  <c r="G45" i="2"/>
  <c r="G44" i="2"/>
  <c r="G43" i="2"/>
  <c r="G42" i="2"/>
  <c r="G41" i="2"/>
  <c r="G37" i="2"/>
  <c r="G36" i="2"/>
  <c r="G35" i="2"/>
  <c r="G34" i="2"/>
  <c r="G33" i="2"/>
  <c r="D19" i="2" l="1"/>
  <c r="D5" i="2" l="1"/>
  <c r="E28" i="2"/>
  <c r="G15" i="2"/>
  <c r="E15" i="2" l="1"/>
  <c r="G4" i="2" l="1"/>
  <c r="G5" i="2"/>
  <c r="G6" i="2"/>
  <c r="G7" i="2"/>
  <c r="G3" i="2"/>
  <c r="D26" i="5"/>
  <c r="D27" i="5"/>
  <c r="D25" i="5"/>
  <c r="D24" i="5"/>
  <c r="D23" i="5"/>
  <c r="A27" i="5"/>
  <c r="A26" i="5"/>
  <c r="A25" i="5"/>
  <c r="A24" i="5"/>
  <c r="A23" i="5"/>
  <c r="E4" i="2" l="1"/>
  <c r="E5" i="2"/>
  <c r="E6" i="2"/>
  <c r="E7" i="2"/>
  <c r="D8" i="5"/>
  <c r="E3" i="5"/>
  <c r="E4" i="5"/>
  <c r="E5" i="5"/>
  <c r="E6" i="5"/>
  <c r="E7" i="5"/>
  <c r="E8" i="5"/>
  <c r="E9" i="5"/>
  <c r="E10" i="5"/>
  <c r="E11" i="5"/>
  <c r="E12" i="5"/>
  <c r="E13" i="5"/>
  <c r="E14" i="5"/>
  <c r="E15" i="5"/>
  <c r="E16" i="5"/>
  <c r="E17" i="5"/>
  <c r="E18" i="5"/>
  <c r="E19" i="5"/>
  <c r="E2" i="5"/>
  <c r="D17" i="5"/>
  <c r="D18" i="5"/>
  <c r="D19" i="5"/>
  <c r="D16" i="5"/>
  <c r="D6" i="5"/>
  <c r="D7" i="5"/>
  <c r="D9" i="5"/>
  <c r="D10" i="5"/>
  <c r="D11" i="5"/>
  <c r="D12" i="5"/>
  <c r="D13" i="5"/>
  <c r="D14" i="5"/>
  <c r="D15" i="5"/>
  <c r="D2" i="5"/>
  <c r="D3" i="5"/>
  <c r="D4" i="5"/>
  <c r="D5" i="5"/>
  <c r="H7" i="2" l="1"/>
  <c r="H5" i="2"/>
  <c r="I5" i="2" s="1"/>
  <c r="J5" i="2" s="1"/>
  <c r="H6" i="2"/>
  <c r="I6" i="2" s="1"/>
  <c r="J6" i="2" s="1"/>
  <c r="H4" i="2"/>
  <c r="I4" i="2" s="1"/>
  <c r="J4" i="2" s="1"/>
  <c r="E3" i="2"/>
  <c r="G29" i="2" l="1"/>
  <c r="G28" i="2"/>
  <c r="G27" i="2"/>
  <c r="G26" i="2"/>
  <c r="G22" i="2"/>
  <c r="G21" i="2"/>
  <c r="G20" i="2"/>
  <c r="G19" i="2"/>
  <c r="G14" i="2"/>
  <c r="E14" i="2"/>
  <c r="G13" i="2"/>
  <c r="E13" i="2"/>
  <c r="G12" i="2"/>
  <c r="E12" i="2"/>
  <c r="G11" i="2"/>
  <c r="H14" i="2" l="1"/>
  <c r="I14" i="2" s="1"/>
  <c r="J14" i="2" s="1"/>
  <c r="H12" i="2"/>
  <c r="I12" i="2" s="1"/>
  <c r="J12" i="2" s="1"/>
  <c r="H13" i="2"/>
  <c r="I13" i="2" s="1"/>
  <c r="J13" i="2" s="1"/>
  <c r="E27" i="2" l="1"/>
  <c r="H28" i="2"/>
  <c r="I28" i="2" s="1"/>
  <c r="J28" i="2" s="1"/>
  <c r="E26" i="2"/>
  <c r="H26" i="2" l="1"/>
  <c r="I26" i="2" s="1"/>
  <c r="H27" i="2"/>
  <c r="I27" i="2" s="1"/>
  <c r="J27" i="2" s="1"/>
  <c r="J26" i="2"/>
  <c r="H3" i="2"/>
  <c r="I3" i="2" s="1"/>
  <c r="J3" i="2" l="1"/>
  <c r="J8" i="2" s="1"/>
  <c r="I8" i="2"/>
  <c r="E22" i="2"/>
  <c r="E21" i="2"/>
  <c r="E20" i="2"/>
  <c r="E19" i="2"/>
  <c r="E29" i="2"/>
  <c r="H19" i="2" l="1"/>
  <c r="I19" i="2" s="1"/>
  <c r="H21" i="2"/>
  <c r="I21" i="2" s="1"/>
  <c r="J21" i="2" s="1"/>
  <c r="H29" i="2"/>
  <c r="I29" i="2" s="1"/>
  <c r="I30" i="2" s="1"/>
  <c r="H20" i="2"/>
  <c r="I20" i="2" s="1"/>
  <c r="J20" i="2" s="1"/>
  <c r="H22" i="2"/>
  <c r="I22" i="2" s="1"/>
  <c r="J22" i="2" s="1"/>
  <c r="D33" i="2" l="1"/>
  <c r="E33" i="2" s="1"/>
  <c r="H33" i="2" s="1"/>
  <c r="I33" i="2" s="1"/>
  <c r="J33" i="2" s="1"/>
  <c r="D37" i="2"/>
  <c r="E37" i="2" s="1"/>
  <c r="H37" i="2" s="1"/>
  <c r="I37" i="2" s="1"/>
  <c r="J37" i="2" s="1"/>
  <c r="J19" i="2"/>
  <c r="J23" i="2" s="1"/>
  <c r="M23" i="2"/>
  <c r="J29" i="2"/>
  <c r="J30" i="2" s="1"/>
  <c r="M30" i="2" s="1"/>
  <c r="D51" i="2" l="1"/>
  <c r="D52" i="2"/>
  <c r="E52" i="2" s="1"/>
  <c r="H52" i="2" s="1"/>
  <c r="I52" i="2" s="1"/>
  <c r="J52" i="2" s="1"/>
  <c r="D58" i="2"/>
  <c r="E58" i="2" s="1"/>
  <c r="H58" i="2" s="1"/>
  <c r="I58" i="2" s="1"/>
  <c r="J58" i="2" s="1"/>
  <c r="D56" i="2"/>
  <c r="E56" i="2" s="1"/>
  <c r="H56" i="2" s="1"/>
  <c r="I56" i="2" s="1"/>
  <c r="D59" i="2"/>
  <c r="E59" i="2" s="1"/>
  <c r="H59" i="2" s="1"/>
  <c r="I59" i="2" s="1"/>
  <c r="J59" i="2" s="1"/>
  <c r="D57" i="2"/>
  <c r="E57" i="2" s="1"/>
  <c r="H57" i="2" s="1"/>
  <c r="I57" i="2" s="1"/>
  <c r="J57" i="2" s="1"/>
  <c r="E11" i="2"/>
  <c r="I60" i="2" l="1"/>
  <c r="J56" i="2"/>
  <c r="J60" i="2" s="1"/>
  <c r="D49" i="2"/>
  <c r="E49" i="2" s="1"/>
  <c r="H49" i="2" s="1"/>
  <c r="I49" i="2" s="1"/>
  <c r="E51" i="2"/>
  <c r="H51" i="2" s="1"/>
  <c r="I51" i="2" s="1"/>
  <c r="J51" i="2" s="1"/>
  <c r="H11" i="2"/>
  <c r="I11" i="2" s="1"/>
  <c r="J11" i="2"/>
  <c r="M60" i="2" l="1"/>
  <c r="J49" i="2"/>
  <c r="D88" i="2" l="1"/>
  <c r="E88" i="2" s="1"/>
  <c r="H88" i="2" s="1"/>
  <c r="I88" i="2" s="1"/>
  <c r="J88" i="2" s="1"/>
  <c r="D87" i="2"/>
  <c r="E87" i="2" s="1"/>
  <c r="H87" i="2" s="1"/>
  <c r="I87" i="2" s="1"/>
  <c r="J87" i="2" s="1"/>
  <c r="D35" i="2"/>
  <c r="E35" i="2" s="1"/>
  <c r="H35" i="2" s="1"/>
  <c r="I35" i="2" s="1"/>
  <c r="J35" i="2" s="1"/>
  <c r="D42" i="2"/>
  <c r="E42" i="2" s="1"/>
  <c r="H42" i="2" s="1"/>
  <c r="I42" i="2" s="1"/>
  <c r="J42" i="2" s="1"/>
  <c r="D45" i="2"/>
  <c r="E45" i="2" s="1"/>
  <c r="H45" i="2" s="1"/>
  <c r="D34" i="2"/>
  <c r="E34" i="2" s="1"/>
  <c r="H34" i="2" s="1"/>
  <c r="I34" i="2" s="1"/>
  <c r="D36" i="2"/>
  <c r="E36" i="2" s="1"/>
  <c r="H36" i="2" s="1"/>
  <c r="I36" i="2" s="1"/>
  <c r="J36" i="2" s="1"/>
  <c r="D41" i="2"/>
  <c r="E41" i="2" s="1"/>
  <c r="H41" i="2" s="1"/>
  <c r="I41" i="2" s="1"/>
  <c r="D44" i="2"/>
  <c r="E44" i="2" s="1"/>
  <c r="H44" i="2" s="1"/>
  <c r="I44" i="2" s="1"/>
  <c r="J44" i="2" s="1"/>
  <c r="D43" i="2"/>
  <c r="E43" i="2" s="1"/>
  <c r="H43" i="2" s="1"/>
  <c r="I43" i="2" s="1"/>
  <c r="J43" i="2" s="1"/>
  <c r="D50" i="2"/>
  <c r="E50" i="2" s="1"/>
  <c r="H50" i="2" s="1"/>
  <c r="I50" i="2" s="1"/>
  <c r="O10" i="2"/>
  <c r="I38" i="2" l="1"/>
  <c r="J41" i="2"/>
  <c r="I45" i="2"/>
  <c r="I46" i="2" s="1"/>
  <c r="J50" i="2"/>
  <c r="J53" i="2" s="1"/>
  <c r="I53" i="2"/>
  <c r="J34" i="2"/>
  <c r="J38" i="2" l="1"/>
  <c r="M38" i="2" s="1"/>
  <c r="M53" i="2"/>
  <c r="D80" i="2" s="1"/>
  <c r="E80" i="2" s="1"/>
  <c r="H80" i="2" s="1"/>
  <c r="I80" i="2" s="1"/>
  <c r="J80" i="2" s="1"/>
  <c r="J46" i="2"/>
  <c r="J45" i="2"/>
  <c r="M45" i="2" s="1"/>
  <c r="D71" i="2" l="1"/>
  <c r="E71" i="2" s="1"/>
  <c r="H71" i="2" s="1"/>
  <c r="I71" i="2" s="1"/>
  <c r="J71" i="2" s="1"/>
  <c r="D72" i="2"/>
  <c r="E72" i="2" s="1"/>
  <c r="H72" i="2" s="1"/>
  <c r="I72" i="2" s="1"/>
  <c r="J72" i="2" s="1"/>
  <c r="D73" i="2"/>
  <c r="E73" i="2" s="1"/>
  <c r="H73" i="2" s="1"/>
  <c r="I73" i="2" s="1"/>
  <c r="J73" i="2" s="1"/>
  <c r="D63" i="2"/>
  <c r="E63" i="2" s="1"/>
  <c r="H63" i="2" s="1"/>
  <c r="I63" i="2" s="1"/>
  <c r="J63" i="2" s="1"/>
  <c r="D74" i="2"/>
  <c r="E74" i="2" s="1"/>
  <c r="H74" i="2" s="1"/>
  <c r="I74" i="2" s="1"/>
  <c r="J74" i="2" s="1"/>
  <c r="D75" i="2"/>
  <c r="E75" i="2" s="1"/>
  <c r="H75" i="2" s="1"/>
  <c r="D64" i="2"/>
  <c r="E64" i="2" s="1"/>
  <c r="H64" i="2" s="1"/>
  <c r="I64" i="2" s="1"/>
  <c r="J64" i="2" s="1"/>
  <c r="D66" i="2"/>
  <c r="E66" i="2" s="1"/>
  <c r="J66" i="2" s="1"/>
  <c r="D86" i="2"/>
  <c r="E86" i="2" s="1"/>
  <c r="H86" i="2" s="1"/>
  <c r="I86" i="2" s="1"/>
  <c r="J86" i="2" s="1"/>
  <c r="D78" i="2"/>
  <c r="E78" i="2" s="1"/>
  <c r="H78" i="2" s="1"/>
  <c r="I78" i="2" s="1"/>
  <c r="D79" i="2"/>
  <c r="E79" i="2" s="1"/>
  <c r="H79" i="2" s="1"/>
  <c r="I79" i="2" s="1"/>
  <c r="J79" i="2" s="1"/>
  <c r="O40" i="2"/>
  <c r="D65" i="2"/>
  <c r="E65" i="2" s="1"/>
  <c r="H65" i="2" s="1"/>
  <c r="I65" i="2" s="1"/>
  <c r="J65" i="2" s="1"/>
  <c r="D67" i="2"/>
  <c r="E67" i="2" s="1"/>
  <c r="H67" i="2" s="1"/>
  <c r="I67" i="2" s="1"/>
  <c r="J67" i="2" s="1"/>
  <c r="D85" i="2"/>
  <c r="E85" i="2" s="1"/>
  <c r="H85" i="2" s="1"/>
  <c r="I85" i="2" s="1"/>
  <c r="J85" i="2" s="1"/>
  <c r="J89" i="2" s="1"/>
  <c r="D81" i="2"/>
  <c r="E81" i="2" s="1"/>
  <c r="H81" i="2" s="1"/>
  <c r="I81" i="2" s="1"/>
  <c r="J81" i="2" s="1"/>
  <c r="I75" i="2"/>
  <c r="I89" i="2" l="1"/>
  <c r="I82" i="2"/>
  <c r="J78" i="2"/>
  <c r="J82" i="2" s="1"/>
  <c r="J75" i="2"/>
  <c r="I68" i="2"/>
  <c r="M75" i="2"/>
  <c r="D102" i="2" s="1"/>
  <c r="E102" i="2" s="1"/>
  <c r="H102" i="2" s="1"/>
  <c r="I102" i="2" s="1"/>
  <c r="J102" i="2" s="1"/>
  <c r="M89" i="2"/>
  <c r="D116" i="2" s="1"/>
  <c r="E116" i="2" s="1"/>
  <c r="H116" i="2" s="1"/>
  <c r="I116" i="2" s="1"/>
  <c r="J116" i="2" s="1"/>
  <c r="D100" i="2"/>
  <c r="E100" i="2" s="1"/>
  <c r="H100" i="2" s="1"/>
  <c r="I100" i="2" s="1"/>
  <c r="D117" i="2"/>
  <c r="E117" i="2" s="1"/>
  <c r="H117" i="2" s="1"/>
  <c r="I117" i="2" s="1"/>
  <c r="J117" i="2" s="1"/>
  <c r="J68" i="2"/>
  <c r="D92" i="2" l="1"/>
  <c r="E92" i="2" s="1"/>
  <c r="H92" i="2" s="1"/>
  <c r="I92" i="2" s="1"/>
  <c r="J92" i="2" s="1"/>
  <c r="M82" i="2"/>
  <c r="D109" i="2" s="1"/>
  <c r="E109" i="2" s="1"/>
  <c r="H109" i="2" s="1"/>
  <c r="I109" i="2" s="1"/>
  <c r="J109" i="2" s="1"/>
  <c r="M68" i="2"/>
  <c r="D104" i="2" s="1"/>
  <c r="E104" i="2" s="1"/>
  <c r="H104" i="2" s="1"/>
  <c r="D101" i="2"/>
  <c r="E101" i="2" s="1"/>
  <c r="H101" i="2" s="1"/>
  <c r="I101" i="2" s="1"/>
  <c r="J101" i="2" s="1"/>
  <c r="D103" i="2"/>
  <c r="E103" i="2" s="1"/>
  <c r="H103" i="2" s="1"/>
  <c r="I103" i="2" s="1"/>
  <c r="J103" i="2" s="1"/>
  <c r="J100" i="2"/>
  <c r="D94" i="2" l="1"/>
  <c r="E94" i="2" s="1"/>
  <c r="H94" i="2" s="1"/>
  <c r="I94" i="2" s="1"/>
  <c r="J94" i="2" s="1"/>
  <c r="D108" i="2"/>
  <c r="E108" i="2" s="1"/>
  <c r="H108" i="2" s="1"/>
  <c r="I108" i="2" s="1"/>
  <c r="J108" i="2" s="1"/>
  <c r="O70" i="2"/>
  <c r="D93" i="2"/>
  <c r="E93" i="2" s="1"/>
  <c r="H93" i="2" s="1"/>
  <c r="I93" i="2" s="1"/>
  <c r="J93" i="2" s="1"/>
  <c r="D110" i="2"/>
  <c r="E110" i="2" s="1"/>
  <c r="H110" i="2" s="1"/>
  <c r="I110" i="2" s="1"/>
  <c r="J110" i="2" s="1"/>
  <c r="D114" i="2"/>
  <c r="E114" i="2" s="1"/>
  <c r="H114" i="2" s="1"/>
  <c r="I114" i="2" s="1"/>
  <c r="J114" i="2" s="1"/>
  <c r="D107" i="2"/>
  <c r="E107" i="2" s="1"/>
  <c r="H107" i="2" s="1"/>
  <c r="I107" i="2" s="1"/>
  <c r="D95" i="2"/>
  <c r="E95" i="2" s="1"/>
  <c r="J95" i="2" s="1"/>
  <c r="D96" i="2"/>
  <c r="E96" i="2" s="1"/>
  <c r="H96" i="2" s="1"/>
  <c r="I96" i="2" s="1"/>
  <c r="J96" i="2" s="1"/>
  <c r="D115" i="2"/>
  <c r="E115" i="2" s="1"/>
  <c r="H115" i="2" s="1"/>
  <c r="I115" i="2" s="1"/>
  <c r="J115" i="2" s="1"/>
  <c r="I104" i="2"/>
  <c r="J104" i="2"/>
  <c r="I118" i="2"/>
  <c r="I97" i="2" l="1"/>
  <c r="M97" i="2" s="1"/>
  <c r="J97" i="2"/>
  <c r="J118" i="2"/>
  <c r="M104" i="2"/>
  <c r="I111" i="2"/>
  <c r="J107" i="2"/>
  <c r="J111" i="2" s="1"/>
  <c r="M118" i="2"/>
  <c r="M111" i="2" l="1"/>
  <c r="O99" i="2" s="1"/>
</calcChain>
</file>

<file path=xl/sharedStrings.xml><?xml version="1.0" encoding="utf-8"?>
<sst xmlns="http://schemas.openxmlformats.org/spreadsheetml/2006/main" count="264" uniqueCount="40">
  <si>
    <t>Βρογχος Ι</t>
  </si>
  <si>
    <t>J</t>
  </si>
  <si>
    <t>hf</t>
  </si>
  <si>
    <t>hf/Q</t>
  </si>
  <si>
    <t>DQ1</t>
  </si>
  <si>
    <t>DQ2</t>
  </si>
  <si>
    <t>Βρογχος ΙI</t>
  </si>
  <si>
    <t>Παροχή</t>
  </si>
  <si>
    <t>Q(m3/s)</t>
  </si>
  <si>
    <t>D(m)</t>
  </si>
  <si>
    <t>D(mm)</t>
  </si>
  <si>
    <t>Μήκoς</t>
  </si>
  <si>
    <t>ΕΠΑΝΑΛΗΨΗ 0</t>
  </si>
  <si>
    <t>ΕΠΑΝΑΛΗΨΗ 1</t>
  </si>
  <si>
    <t>ΕΠΑΝΑΛΗΨΗ 2</t>
  </si>
  <si>
    <t>ΕΠΑΝΑΛΗΨΗ 3</t>
  </si>
  <si>
    <t>OB</t>
  </si>
  <si>
    <t>BJ</t>
  </si>
  <si>
    <t>JI</t>
  </si>
  <si>
    <t>IH</t>
  </si>
  <si>
    <t>HO</t>
  </si>
  <si>
    <t>q=Q/555</t>
  </si>
  <si>
    <t>Μηκος*q</t>
  </si>
  <si>
    <t>BC</t>
  </si>
  <si>
    <t>CD</t>
  </si>
  <si>
    <t>DE</t>
  </si>
  <si>
    <t>EJ</t>
  </si>
  <si>
    <t>JB</t>
  </si>
  <si>
    <t>IJ</t>
  </si>
  <si>
    <t>JE</t>
  </si>
  <si>
    <t>EF</t>
  </si>
  <si>
    <t>FI</t>
  </si>
  <si>
    <t>HI</t>
  </si>
  <si>
    <t>IF</t>
  </si>
  <si>
    <t>FG</t>
  </si>
  <si>
    <t>GH</t>
  </si>
  <si>
    <t>Βρογχος ΙII</t>
  </si>
  <si>
    <t>Βρογχος ΙV</t>
  </si>
  <si>
    <t>DQ3</t>
  </si>
  <si>
    <t>DQ4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</si>
</sst>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sz val="11"/>
      <name val="Calibri"/>
      <family val="2"/>
      <charset val="16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1" fillId="0" borderId="1" xfId="0" applyFont="1" applyBorder="1"/>
    <xf numFmtId="164" fontId="0" fillId="0" borderId="0" xfId="0" applyNumberFormat="1"/>
    <xf numFmtId="164" fontId="0" fillId="0" borderId="1" xfId="0" applyNumberFormat="1" applyBorder="1"/>
    <xf numFmtId="164" fontId="1" fillId="0" borderId="1" xfId="0" applyNumberFormat="1" applyFont="1" applyBorder="1"/>
    <xf numFmtId="0" fontId="2" fillId="0" borderId="1" xfId="0" applyFont="1" applyBorder="1"/>
    <xf numFmtId="164" fontId="2" fillId="0" borderId="1" xfId="0" applyNumberFormat="1" applyFont="1" applyBorder="1"/>
    <xf numFmtId="0" fontId="0" fillId="0" borderId="0" xfId="0" applyBorder="1"/>
    <xf numFmtId="164" fontId="0" fillId="0" borderId="0" xfId="0" applyNumberFormat="1" applyBorder="1"/>
    <xf numFmtId="0" fontId="1" fillId="0" borderId="0" xfId="0" applyFont="1"/>
    <xf numFmtId="0" fontId="3" fillId="0" borderId="1" xfId="0" applyFont="1" applyBorder="1"/>
    <xf numFmtId="0" fontId="0" fillId="3" borderId="0" xfId="0" applyFill="1"/>
    <xf numFmtId="0" fontId="1" fillId="0" borderId="1" xfId="0" applyFont="1" applyFill="1" applyBorder="1"/>
    <xf numFmtId="0" fontId="1" fillId="0" borderId="0" xfId="0" applyFont="1" applyBorder="1"/>
    <xf numFmtId="0" fontId="2" fillId="0" borderId="1" xfId="0" applyFont="1" applyFill="1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1" fillId="0" borderId="8" xfId="0" applyFont="1" applyBorder="1"/>
    <xf numFmtId="0" fontId="0" fillId="0" borderId="10" xfId="0" applyBorder="1"/>
    <xf numFmtId="164" fontId="0" fillId="0" borderId="10" xfId="0" applyNumberFormat="1" applyBorder="1"/>
    <xf numFmtId="0" fontId="0" fillId="0" borderId="11" xfId="0" applyBorder="1"/>
    <xf numFmtId="0" fontId="1" fillId="4" borderId="1" xfId="0" applyFont="1" applyFill="1" applyBorder="1"/>
    <xf numFmtId="0" fontId="1" fillId="0" borderId="12" xfId="0" applyFont="1" applyBorder="1"/>
    <xf numFmtId="0" fontId="1" fillId="0" borderId="3" xfId="0" applyFont="1" applyBorder="1"/>
    <xf numFmtId="164" fontId="1" fillId="0" borderId="2" xfId="0" applyNumberFormat="1" applyFont="1" applyBorder="1"/>
    <xf numFmtId="164" fontId="3" fillId="0" borderId="1" xfId="0" applyNumberFormat="1" applyFont="1" applyBorder="1"/>
    <xf numFmtId="0" fontId="4" fillId="2" borderId="1" xfId="0" applyFont="1" applyFill="1" applyBorder="1" applyAlignment="1">
      <alignment horizontal="center"/>
    </xf>
    <xf numFmtId="9" fontId="4" fillId="2" borderId="1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0" fillId="0" borderId="4" xfId="0" applyBorder="1" applyAlignment="1">
      <alignment horizontal="center" vertical="center" textRotation="90"/>
    </xf>
    <xf numFmtId="0" fontId="0" fillId="0" borderId="7" xfId="0" applyBorder="1" applyAlignment="1">
      <alignment horizontal="center" vertical="center" textRotation="90"/>
    </xf>
    <xf numFmtId="0" fontId="0" fillId="0" borderId="9" xfId="0" applyBorder="1" applyAlignment="1">
      <alignment horizontal="center" vertical="center" textRotation="90"/>
    </xf>
    <xf numFmtId="0" fontId="1" fillId="0" borderId="0" xfId="0" applyFont="1" applyFill="1" applyBorder="1"/>
    <xf numFmtId="164" fontId="1" fillId="0" borderId="0" xfId="0" applyNumberFormat="1" applyFont="1" applyBorder="1"/>
  </cellXfs>
  <cellStyles count="1">
    <cellStyle name="Κανονικό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smoothMarker"/>
        <c:varyColors val="0"/>
        <c:ser>
          <c:idx val="0"/>
          <c:order val="0"/>
          <c:tx>
            <c:strRef>
              <c:f>Sheet1!$O$2:$O$9</c:f>
              <c:strCache>
                <c:ptCount val="8"/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Sheet1!$N$10:$N$31</c:f>
              <c:numCache>
                <c:formatCode>General</c:formatCode>
                <c:ptCount val="22"/>
              </c:numCache>
            </c:numRef>
          </c:xVal>
          <c:yVal>
            <c:numRef>
              <c:f>Sheet1!$O$10:$O$31</c:f>
              <c:numCache>
                <c:formatCode>General</c:formatCode>
                <c:ptCount val="22"/>
                <c:pt idx="0">
                  <c:v>5.1753231153511194E-2</c:v>
                </c:pt>
              </c:numCache>
            </c:numRef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F40B-4856-A105-3D8998B297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536027088"/>
        <c:axId val="-1536027632"/>
      </c:scatterChart>
      <c:valAx>
        <c:axId val="-153602708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l-GR"/>
                  <a:t>Επανάληψη</a:t>
                </a:r>
                <a:endParaRPr lang="en-US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l-G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-1536027632"/>
        <c:crosses val="autoZero"/>
        <c:crossBetween val="midCat"/>
      </c:valAx>
      <c:valAx>
        <c:axId val="-15360276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l-GR"/>
                  <a:t>μέσο</a:t>
                </a:r>
                <a:r>
                  <a:rPr lang="el-GR" baseline="0"/>
                  <a:t> </a:t>
                </a:r>
                <a:r>
                  <a:rPr lang="el-GR"/>
                  <a:t>Δ</a:t>
                </a:r>
                <a:r>
                  <a:rPr lang="en-US"/>
                  <a:t>Q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l-G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-153602708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l-G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371475</xdr:colOff>
      <xdr:row>1</xdr:row>
      <xdr:rowOff>0</xdr:rowOff>
    </xdr:from>
    <xdr:to>
      <xdr:col>23</xdr:col>
      <xdr:colOff>66675</xdr:colOff>
      <xdr:row>17</xdr:row>
      <xdr:rowOff>76200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19"/>
  <sheetViews>
    <sheetView tabSelected="1" zoomScale="77" zoomScaleNormal="77" workbookViewId="0">
      <selection activeCell="Q20" sqref="Q20"/>
    </sheetView>
  </sheetViews>
  <sheetFormatPr defaultRowHeight="15" x14ac:dyDescent="0.25"/>
  <cols>
    <col min="2" max="2" width="13.42578125" customWidth="1"/>
    <col min="6" max="6" width="14.85546875" customWidth="1"/>
    <col min="7" max="7" width="12" bestFit="1" customWidth="1"/>
    <col min="8" max="8" width="20.85546875" style="3" customWidth="1"/>
    <col min="9" max="9" width="15.42578125" style="3" customWidth="1"/>
    <col min="10" max="10" width="15.85546875" style="3" customWidth="1"/>
    <col min="13" max="13" width="13.85546875" customWidth="1"/>
  </cols>
  <sheetData>
    <row r="2" spans="1:15" x14ac:dyDescent="0.25">
      <c r="A2" s="32" t="s">
        <v>12</v>
      </c>
      <c r="B2" s="1" t="s">
        <v>0</v>
      </c>
      <c r="C2" s="1" t="s">
        <v>11</v>
      </c>
      <c r="D2" s="1" t="s">
        <v>7</v>
      </c>
      <c r="E2" s="1" t="s">
        <v>8</v>
      </c>
      <c r="F2" s="1" t="s">
        <v>10</v>
      </c>
      <c r="G2" s="1" t="s">
        <v>9</v>
      </c>
      <c r="H2" s="4" t="s">
        <v>1</v>
      </c>
      <c r="I2" s="4" t="s">
        <v>2</v>
      </c>
      <c r="J2" s="4" t="s">
        <v>3</v>
      </c>
      <c r="K2" s="16"/>
      <c r="L2" s="16"/>
      <c r="M2" s="16"/>
      <c r="N2" s="16"/>
      <c r="O2" s="17"/>
    </row>
    <row r="3" spans="1:15" x14ac:dyDescent="0.25">
      <c r="A3" s="33"/>
      <c r="B3" s="1" t="s">
        <v>16</v>
      </c>
      <c r="C3" s="1">
        <v>70</v>
      </c>
      <c r="D3" s="1">
        <v>32.734999999999999</v>
      </c>
      <c r="E3" s="1">
        <f>D3/1000</f>
        <v>3.2735E-2</v>
      </c>
      <c r="F3" s="1">
        <v>200</v>
      </c>
      <c r="G3" s="1">
        <f>F3/1000</f>
        <v>0.2</v>
      </c>
      <c r="H3" s="4">
        <f>8.21*10^-4*(G3*0.905)^-4.76*ABS(E3)^1.76*E3/ABS(E3)</f>
        <v>6.826763666233312E-3</v>
      </c>
      <c r="I3" s="4">
        <f>H3*C3</f>
        <v>0.47787345663633185</v>
      </c>
      <c r="J3" s="4">
        <f>I3/E3</f>
        <v>14.598242145603539</v>
      </c>
      <c r="K3" s="8"/>
      <c r="L3" s="8"/>
      <c r="M3" s="8"/>
      <c r="N3" s="8"/>
      <c r="O3" s="18"/>
    </row>
    <row r="4" spans="1:15" x14ac:dyDescent="0.25">
      <c r="A4" s="33"/>
      <c r="B4" s="2" t="s">
        <v>17</v>
      </c>
      <c r="C4" s="2">
        <v>25</v>
      </c>
      <c r="D4" s="2">
        <v>12.515000000000001</v>
      </c>
      <c r="E4" s="2">
        <f t="shared" ref="E4:E7" si="0">D4/1000</f>
        <v>1.2515E-2</v>
      </c>
      <c r="F4" s="2">
        <v>125</v>
      </c>
      <c r="G4" s="2">
        <f t="shared" ref="G4:G7" si="1">F4/1000</f>
        <v>0.125</v>
      </c>
      <c r="H4" s="5">
        <f>8.21*10^-4*(G4*0.905)^-4.76*ABS(E4)^1.76*E4/ABS(E4)</f>
        <v>1.1772875766077599E-2</v>
      </c>
      <c r="I4" s="5">
        <f>H4*C4</f>
        <v>0.29432189415193999</v>
      </c>
      <c r="J4" s="5">
        <f>I4/E4</f>
        <v>23.517530495560525</v>
      </c>
      <c r="K4" s="8"/>
      <c r="L4" s="8"/>
      <c r="M4" s="8"/>
      <c r="N4" s="8"/>
      <c r="O4" s="18"/>
    </row>
    <row r="5" spans="1:15" s="10" customFormat="1" x14ac:dyDescent="0.25">
      <c r="A5" s="33"/>
      <c r="B5" s="2" t="s">
        <v>18</v>
      </c>
      <c r="C5" s="2">
        <v>40</v>
      </c>
      <c r="D5" s="2">
        <f>-4.719</f>
        <v>-4.7190000000000003</v>
      </c>
      <c r="E5" s="2">
        <f t="shared" si="0"/>
        <v>-4.7190000000000001E-3</v>
      </c>
      <c r="F5" s="2">
        <v>75</v>
      </c>
      <c r="G5" s="2">
        <f t="shared" si="1"/>
        <v>7.4999999999999997E-2</v>
      </c>
      <c r="H5" s="5">
        <f>8.21*10^-4*(G5*0.905)^-4.76*ABS(E5)^1.76*E5/ABS(E5)</f>
        <v>-2.4064689722377245E-2</v>
      </c>
      <c r="I5" s="5">
        <f>H5*C5</f>
        <v>-0.96258758889508977</v>
      </c>
      <c r="J5" s="5">
        <f>I5/E5</f>
        <v>203.98126486439708</v>
      </c>
      <c r="K5" s="14"/>
      <c r="L5" s="14"/>
      <c r="M5" s="14"/>
      <c r="N5" s="14"/>
      <c r="O5" s="19"/>
    </row>
    <row r="6" spans="1:15" s="10" customFormat="1" x14ac:dyDescent="0.25">
      <c r="A6" s="33"/>
      <c r="B6" s="2" t="s">
        <v>19</v>
      </c>
      <c r="C6" s="2">
        <v>30</v>
      </c>
      <c r="D6" s="2">
        <v>-18</v>
      </c>
      <c r="E6" s="2">
        <f t="shared" si="0"/>
        <v>-1.7999999999999999E-2</v>
      </c>
      <c r="F6" s="2">
        <v>140</v>
      </c>
      <c r="G6" s="2">
        <f t="shared" si="1"/>
        <v>0.14000000000000001</v>
      </c>
      <c r="H6" s="5">
        <f>8.21*10^-4*(G6*0.905)^-4.76*ABS(E6)^1.76*E6/ABS(E6)</f>
        <v>-1.3013858467848038E-2</v>
      </c>
      <c r="I6" s="5">
        <f>H6*C6</f>
        <v>-0.39041575403544115</v>
      </c>
      <c r="J6" s="5">
        <f>I6/E6</f>
        <v>21.689764113080066</v>
      </c>
      <c r="K6" s="14"/>
      <c r="L6" s="14"/>
      <c r="M6" s="14"/>
      <c r="N6" s="14"/>
      <c r="O6" s="19"/>
    </row>
    <row r="7" spans="1:15" x14ac:dyDescent="0.25">
      <c r="A7" s="33"/>
      <c r="B7" s="6" t="s">
        <v>20</v>
      </c>
      <c r="C7" s="6">
        <v>25</v>
      </c>
      <c r="D7" s="15">
        <v>-36.734999999999999</v>
      </c>
      <c r="E7" s="15">
        <f t="shared" si="0"/>
        <v>-3.6734999999999997E-2</v>
      </c>
      <c r="F7" s="1">
        <v>200</v>
      </c>
      <c r="G7" s="1">
        <f t="shared" si="1"/>
        <v>0.2</v>
      </c>
      <c r="H7" s="4">
        <f>8.21*10^-4*(G7*0.905)^-4.76*ABS(E7)^1.76*E7/ABS(E7)</f>
        <v>-8.3624593274425167E-3</v>
      </c>
      <c r="I7" s="4">
        <f>H7*C7</f>
        <v>-0.20906148318606291</v>
      </c>
      <c r="J7" s="4">
        <f>I7/E7</f>
        <v>5.6910707278089809</v>
      </c>
      <c r="K7" s="8"/>
      <c r="L7" s="8"/>
      <c r="M7" s="8"/>
      <c r="N7" s="8"/>
      <c r="O7" s="18"/>
    </row>
    <row r="8" spans="1:15" x14ac:dyDescent="0.25">
      <c r="A8" s="33"/>
      <c r="B8" s="8"/>
      <c r="C8" s="8"/>
      <c r="D8" s="8"/>
      <c r="E8" s="8"/>
      <c r="F8" s="8"/>
      <c r="G8" s="8"/>
      <c r="H8" s="9"/>
      <c r="I8" s="4">
        <f>SUM(I3:I7)</f>
        <v>-0.78986947532832197</v>
      </c>
      <c r="J8" s="4">
        <f>SUM(J3:J7)</f>
        <v>269.47787234645023</v>
      </c>
      <c r="K8" s="8"/>
      <c r="L8" s="8" t="s">
        <v>4</v>
      </c>
      <c r="M8" s="8">
        <f>M15</f>
        <v>0</v>
      </c>
      <c r="N8" s="8"/>
      <c r="O8" s="18"/>
    </row>
    <row r="9" spans="1:15" x14ac:dyDescent="0.25">
      <c r="A9" s="33"/>
      <c r="B9" s="8"/>
      <c r="C9" s="8"/>
      <c r="D9" s="8"/>
      <c r="E9" s="8"/>
      <c r="F9" s="8"/>
      <c r="G9" s="8"/>
      <c r="H9" s="9"/>
      <c r="I9" s="9"/>
      <c r="J9" s="9"/>
      <c r="K9" s="8"/>
      <c r="L9" s="8"/>
      <c r="M9" s="8"/>
      <c r="N9" s="8"/>
      <c r="O9" s="18"/>
    </row>
    <row r="10" spans="1:15" x14ac:dyDescent="0.25">
      <c r="A10" s="33"/>
      <c r="B10" s="1" t="s">
        <v>6</v>
      </c>
      <c r="C10" s="1" t="s">
        <v>11</v>
      </c>
      <c r="D10" s="1" t="s">
        <v>7</v>
      </c>
      <c r="E10" s="1" t="s">
        <v>8</v>
      </c>
      <c r="F10" s="1" t="s">
        <v>10</v>
      </c>
      <c r="G10" s="1" t="s">
        <v>9</v>
      </c>
      <c r="H10" s="4" t="s">
        <v>1</v>
      </c>
      <c r="I10" s="4" t="s">
        <v>2</v>
      </c>
      <c r="J10" s="4" t="s">
        <v>3</v>
      </c>
      <c r="K10" s="8"/>
      <c r="L10" s="8"/>
      <c r="M10" s="8"/>
      <c r="N10" s="8"/>
      <c r="O10" s="18">
        <f>AVERAGE(M8,M15,M23,M30)</f>
        <v>5.1753231153511194E-2</v>
      </c>
    </row>
    <row r="11" spans="1:15" x14ac:dyDescent="0.25">
      <c r="A11" s="33"/>
      <c r="B11" s="1" t="s">
        <v>23</v>
      </c>
      <c r="C11" s="1">
        <v>25</v>
      </c>
      <c r="D11" s="1">
        <v>12</v>
      </c>
      <c r="E11" s="1">
        <f>D11/1000</f>
        <v>1.2E-2</v>
      </c>
      <c r="F11" s="1">
        <v>125</v>
      </c>
      <c r="G11" s="1">
        <f>F11/1000</f>
        <v>0.125</v>
      </c>
      <c r="H11" s="4">
        <f>8.21*10^-4*(G11*0.905)^-4.76*ABS(E11)^1.76*E11/ABS(E11)</f>
        <v>1.0933601757680199E-2</v>
      </c>
      <c r="I11" s="4">
        <f>H11*C11</f>
        <v>0.27334004394200501</v>
      </c>
      <c r="J11" s="4">
        <f>I11/E11</f>
        <v>22.778336995167084</v>
      </c>
      <c r="K11" s="8"/>
      <c r="L11" s="8"/>
      <c r="M11" s="8"/>
      <c r="N11" s="8"/>
      <c r="O11" s="18"/>
    </row>
    <row r="12" spans="1:15" x14ac:dyDescent="0.25">
      <c r="A12" s="33"/>
      <c r="B12" s="6" t="s">
        <v>24</v>
      </c>
      <c r="C12" s="6">
        <v>80</v>
      </c>
      <c r="D12" s="6">
        <v>4.8079999999999998</v>
      </c>
      <c r="E12" s="6">
        <f t="shared" ref="E12:E15" si="2">D12/1000</f>
        <v>4.8079999999999998E-3</v>
      </c>
      <c r="F12" s="6">
        <v>75</v>
      </c>
      <c r="G12" s="6">
        <f t="shared" ref="G12:G15" si="3">F12/1000</f>
        <v>7.4999999999999997E-2</v>
      </c>
      <c r="H12" s="7">
        <f>8.21*10^-4*(G12*0.905)^-4.76*ABS(E12)^1.76*E12/ABS(E12)</f>
        <v>2.4869196519032657E-2</v>
      </c>
      <c r="I12" s="7">
        <f>H12*C12</f>
        <v>1.9895357215226126</v>
      </c>
      <c r="J12" s="7">
        <f>I12/E12</f>
        <v>413.7969470720908</v>
      </c>
      <c r="K12" s="8"/>
      <c r="L12" s="8"/>
      <c r="M12" s="8"/>
      <c r="N12" s="8"/>
      <c r="O12" s="18"/>
    </row>
    <row r="13" spans="1:15" x14ac:dyDescent="0.25">
      <c r="A13" s="33"/>
      <c r="B13" s="1" t="s">
        <v>25</v>
      </c>
      <c r="C13" s="1">
        <v>25</v>
      </c>
      <c r="D13" s="1">
        <v>-2.3290000000000002</v>
      </c>
      <c r="E13" s="1">
        <f t="shared" si="2"/>
        <v>-2.3290000000000003E-3</v>
      </c>
      <c r="F13" s="1">
        <v>63</v>
      </c>
      <c r="G13" s="1">
        <f t="shared" si="3"/>
        <v>6.3E-2</v>
      </c>
      <c r="H13" s="4">
        <f>8.21*10^-4*(G13*0.905)^-4.76*ABS(E13)^1.76*E13/ABS(E13)</f>
        <v>-1.5924037972194938E-2</v>
      </c>
      <c r="I13" s="4">
        <f>H13*C13</f>
        <v>-0.39810094930487344</v>
      </c>
      <c r="J13" s="4">
        <f>I13/E13</f>
        <v>170.93213795829686</v>
      </c>
      <c r="K13" s="8"/>
      <c r="L13" s="8"/>
      <c r="M13" s="8"/>
      <c r="N13" s="8"/>
      <c r="O13" s="18"/>
    </row>
    <row r="14" spans="1:15" x14ac:dyDescent="0.25">
      <c r="A14" s="33"/>
      <c r="B14" s="2" t="s">
        <v>26</v>
      </c>
      <c r="C14" s="2">
        <v>55</v>
      </c>
      <c r="D14" s="2">
        <v>-9.0139999999999993</v>
      </c>
      <c r="E14" s="2">
        <f t="shared" si="2"/>
        <v>-9.0139999999999994E-3</v>
      </c>
      <c r="F14" s="2">
        <v>110</v>
      </c>
      <c r="G14" s="2">
        <f t="shared" si="3"/>
        <v>0.11</v>
      </c>
      <c r="H14" s="5">
        <f>8.21*10^-4*(G14*0.905)^-4.76*ABS(E14)^1.76*E14/ABS(E14)</f>
        <v>-1.2142878046386056E-2</v>
      </c>
      <c r="I14" s="5">
        <f>H14*C14</f>
        <v>-0.66785829255123308</v>
      </c>
      <c r="J14" s="5">
        <f>I14/E14</f>
        <v>74.09122393512682</v>
      </c>
      <c r="K14" s="8"/>
      <c r="L14" s="8"/>
      <c r="M14" s="8"/>
      <c r="N14" s="8"/>
      <c r="O14" s="18"/>
    </row>
    <row r="15" spans="1:15" x14ac:dyDescent="0.25">
      <c r="A15" s="33"/>
      <c r="B15" s="2" t="s">
        <v>27</v>
      </c>
      <c r="C15" s="2">
        <v>25</v>
      </c>
      <c r="D15" s="13">
        <v>-12.515000000000001</v>
      </c>
      <c r="E15" s="13">
        <f t="shared" si="2"/>
        <v>-1.2515E-2</v>
      </c>
      <c r="F15" s="2">
        <v>125</v>
      </c>
      <c r="G15" s="2">
        <f t="shared" si="3"/>
        <v>0.125</v>
      </c>
      <c r="H15" s="5">
        <f>8.21*10^-4*(G15*0.905)^-4.76*ABS(E15)^1.76*E15/ABS(E15)</f>
        <v>-1.1772875766077599E-2</v>
      </c>
      <c r="I15" s="5">
        <f>H15*C15</f>
        <v>-0.29432189415193999</v>
      </c>
      <c r="J15" s="5">
        <f>I15/E15</f>
        <v>23.517530495560525</v>
      </c>
      <c r="K15" s="8"/>
      <c r="L15" s="8"/>
      <c r="M15" s="8"/>
      <c r="N15" s="8"/>
      <c r="O15" s="18"/>
    </row>
    <row r="16" spans="1:15" x14ac:dyDescent="0.25">
      <c r="A16" s="33"/>
      <c r="B16" s="14"/>
      <c r="C16" s="14"/>
      <c r="D16" s="35"/>
      <c r="E16" s="35"/>
      <c r="F16" s="14"/>
      <c r="G16" s="14"/>
      <c r="H16" s="36"/>
      <c r="I16" s="36">
        <f>SUM(I11:I14)</f>
        <v>1.1969165236085111</v>
      </c>
      <c r="J16" s="36">
        <f>SUM(J11:J15)</f>
        <v>705.1161764562421</v>
      </c>
      <c r="K16" s="8"/>
      <c r="L16" s="8" t="s">
        <v>5</v>
      </c>
      <c r="M16" s="8">
        <f>I16/J16</f>
        <v>1.6974742086104857E-3</v>
      </c>
      <c r="N16" s="8"/>
      <c r="O16" s="18"/>
    </row>
    <row r="17" spans="1:15" x14ac:dyDescent="0.25">
      <c r="A17" s="33"/>
      <c r="B17" s="8"/>
      <c r="C17" s="8"/>
      <c r="D17" s="8"/>
      <c r="E17" s="8"/>
      <c r="F17" s="8"/>
      <c r="G17" s="8"/>
      <c r="H17" s="9"/>
      <c r="I17" s="9"/>
      <c r="J17" s="9"/>
      <c r="K17" s="8"/>
      <c r="L17" s="8"/>
      <c r="M17" s="8"/>
      <c r="N17" s="8"/>
      <c r="O17" s="18"/>
    </row>
    <row r="18" spans="1:15" x14ac:dyDescent="0.25">
      <c r="A18" s="33"/>
      <c r="B18" s="1" t="s">
        <v>36</v>
      </c>
      <c r="C18" s="1" t="s">
        <v>11</v>
      </c>
      <c r="D18" s="1" t="s">
        <v>7</v>
      </c>
      <c r="E18" s="1" t="s">
        <v>8</v>
      </c>
      <c r="F18" s="1" t="s">
        <v>10</v>
      </c>
      <c r="G18" s="1" t="s">
        <v>9</v>
      </c>
      <c r="H18" s="4" t="s">
        <v>1</v>
      </c>
      <c r="I18" s="4" t="s">
        <v>2</v>
      </c>
      <c r="J18" s="4" t="s">
        <v>3</v>
      </c>
      <c r="K18" s="8"/>
      <c r="L18" s="8"/>
      <c r="M18" s="8"/>
      <c r="N18" s="8"/>
      <c r="O18" s="18"/>
    </row>
    <row r="19" spans="1:15" x14ac:dyDescent="0.25">
      <c r="A19" s="33"/>
      <c r="B19" s="11" t="s">
        <v>28</v>
      </c>
      <c r="C19" s="11">
        <v>40</v>
      </c>
      <c r="D19" s="11">
        <f>4.719</f>
        <v>4.7190000000000003</v>
      </c>
      <c r="E19" s="11">
        <f>D19/1000</f>
        <v>4.7190000000000001E-3</v>
      </c>
      <c r="F19" s="11">
        <v>75</v>
      </c>
      <c r="G19" s="11">
        <f>F19/1000</f>
        <v>7.4999999999999997E-2</v>
      </c>
      <c r="H19" s="27">
        <f>8.21*10^-4*(G19*0.905)^-4.76*ABS(E19)^1.76*E19/ABS(E19)</f>
        <v>2.4064689722377245E-2</v>
      </c>
      <c r="I19" s="27">
        <f>H19*C19</f>
        <v>0.96258758889508977</v>
      </c>
      <c r="J19" s="27">
        <f>I19/E19</f>
        <v>203.98126486439708</v>
      </c>
      <c r="K19" s="8"/>
      <c r="L19" s="8"/>
      <c r="M19" s="8"/>
      <c r="N19" s="8"/>
      <c r="O19" s="18"/>
    </row>
    <row r="20" spans="1:15" x14ac:dyDescent="0.25">
      <c r="A20" s="33"/>
      <c r="B20" s="11" t="s">
        <v>29</v>
      </c>
      <c r="C20" s="11">
        <v>55</v>
      </c>
      <c r="D20" s="13">
        <v>9.0139999999999993</v>
      </c>
      <c r="E20" s="2">
        <f t="shared" ref="E20:E22" si="4">D20/1000</f>
        <v>9.0139999999999994E-3</v>
      </c>
      <c r="F20" s="2">
        <v>110</v>
      </c>
      <c r="G20" s="2">
        <f t="shared" ref="G20:G22" si="5">F20/1000</f>
        <v>0.11</v>
      </c>
      <c r="H20" s="5">
        <f>8.21*10^-4*(G20*0.905)^-4.76*ABS(E20)^1.76*E20/ABS(E20)</f>
        <v>1.2142878046386056E-2</v>
      </c>
      <c r="I20" s="5">
        <f>H20*C20</f>
        <v>0.66785829255123308</v>
      </c>
      <c r="J20" s="5">
        <f>I20/E20</f>
        <v>74.09122393512682</v>
      </c>
      <c r="K20" s="8"/>
      <c r="L20" s="8"/>
      <c r="M20" s="8"/>
      <c r="N20" s="8"/>
      <c r="O20" s="18"/>
    </row>
    <row r="21" spans="1:15" x14ac:dyDescent="0.25">
      <c r="A21" s="33"/>
      <c r="B21" s="1" t="s">
        <v>30</v>
      </c>
      <c r="C21" s="1">
        <v>40</v>
      </c>
      <c r="D21" s="1">
        <v>-1.5349999999999999</v>
      </c>
      <c r="E21" s="1">
        <f t="shared" si="4"/>
        <v>-1.5349999999999999E-3</v>
      </c>
      <c r="F21" s="1">
        <v>63</v>
      </c>
      <c r="G21" s="1">
        <f t="shared" si="5"/>
        <v>6.3E-2</v>
      </c>
      <c r="H21" s="4">
        <f>8.21*10^-4*(G21*0.905)^-4.76*ABS(E21)^1.76*E21/ABS(E21)</f>
        <v>-7.645143704295026E-3</v>
      </c>
      <c r="I21" s="4">
        <f>H21*C21</f>
        <v>-0.30580574817180106</v>
      </c>
      <c r="J21" s="4">
        <f>I21/E21</f>
        <v>199.22198577967498</v>
      </c>
      <c r="K21" s="8"/>
      <c r="L21" s="8"/>
      <c r="M21" s="8"/>
      <c r="N21" s="8"/>
      <c r="O21" s="18"/>
    </row>
    <row r="22" spans="1:15" x14ac:dyDescent="0.25">
      <c r="A22" s="33"/>
      <c r="B22" s="11" t="s">
        <v>31</v>
      </c>
      <c r="C22" s="11">
        <v>55</v>
      </c>
      <c r="D22" s="2">
        <v>-4.7190000000000003</v>
      </c>
      <c r="E22" s="2">
        <f t="shared" si="4"/>
        <v>-4.7190000000000001E-3</v>
      </c>
      <c r="F22" s="2">
        <v>75</v>
      </c>
      <c r="G22" s="2">
        <f t="shared" si="5"/>
        <v>7.4999999999999997E-2</v>
      </c>
      <c r="H22" s="5">
        <f>8.21*10^-4*(G22*0.905)^-4.76*ABS(E22)^1.76*E22/ABS(E22)</f>
        <v>-2.4064689722377245E-2</v>
      </c>
      <c r="I22" s="5">
        <f>H22*C22</f>
        <v>-1.3235579347307485</v>
      </c>
      <c r="J22" s="5">
        <f>I22/E22</f>
        <v>280.47423918854599</v>
      </c>
      <c r="K22" s="8"/>
      <c r="L22" s="8"/>
      <c r="M22" s="8"/>
      <c r="N22" s="8"/>
      <c r="O22" s="18"/>
    </row>
    <row r="23" spans="1:15" x14ac:dyDescent="0.25">
      <c r="A23" s="33"/>
      <c r="B23" s="8"/>
      <c r="C23" s="8"/>
      <c r="D23" s="8"/>
      <c r="E23" s="8"/>
      <c r="F23" s="8"/>
      <c r="G23" s="8"/>
      <c r="H23" s="9"/>
      <c r="I23" s="4"/>
      <c r="J23" s="4">
        <f>SUM(J19:J22)</f>
        <v>757.76871376774488</v>
      </c>
      <c r="K23" s="8"/>
      <c r="L23" s="8" t="s">
        <v>38</v>
      </c>
      <c r="M23" s="8">
        <f>-I23/(2*J23)*1000</f>
        <v>0</v>
      </c>
      <c r="N23" s="8"/>
      <c r="O23" s="18"/>
    </row>
    <row r="24" spans="1:15" x14ac:dyDescent="0.25">
      <c r="A24" s="33"/>
      <c r="B24" s="8"/>
      <c r="C24" s="8"/>
      <c r="D24" s="8"/>
      <c r="E24" s="8"/>
      <c r="F24" s="8"/>
      <c r="G24" s="8"/>
      <c r="H24" s="9"/>
      <c r="I24" s="9"/>
      <c r="J24" s="9"/>
      <c r="K24" s="8"/>
      <c r="L24" s="8"/>
      <c r="M24" s="8"/>
      <c r="N24" s="8"/>
      <c r="O24" s="18"/>
    </row>
    <row r="25" spans="1:15" x14ac:dyDescent="0.25">
      <c r="A25" s="33"/>
      <c r="B25" s="1" t="s">
        <v>37</v>
      </c>
      <c r="C25" s="1" t="s">
        <v>11</v>
      </c>
      <c r="D25" s="1" t="s">
        <v>7</v>
      </c>
      <c r="E25" s="1" t="s">
        <v>8</v>
      </c>
      <c r="F25" s="1" t="s">
        <v>10</v>
      </c>
      <c r="G25" s="1" t="s">
        <v>9</v>
      </c>
      <c r="H25" s="4" t="s">
        <v>1</v>
      </c>
      <c r="I25" s="4" t="s">
        <v>2</v>
      </c>
      <c r="J25" s="4" t="s">
        <v>3</v>
      </c>
      <c r="K25" s="8"/>
      <c r="L25" s="8"/>
      <c r="M25" s="8"/>
      <c r="N25" s="8"/>
      <c r="O25" s="18"/>
    </row>
    <row r="26" spans="1:15" x14ac:dyDescent="0.25">
      <c r="A26" s="33"/>
      <c r="B26" s="23" t="s">
        <v>32</v>
      </c>
      <c r="C26" s="2">
        <v>30</v>
      </c>
      <c r="D26" s="2">
        <v>18</v>
      </c>
      <c r="E26" s="2">
        <f>D26/1000</f>
        <v>1.7999999999999999E-2</v>
      </c>
      <c r="F26" s="2">
        <v>140</v>
      </c>
      <c r="G26" s="2">
        <f>F26/1000</f>
        <v>0.14000000000000001</v>
      </c>
      <c r="H26" s="5">
        <f>8.21*10^-4*(G26*0.905)^-4.76*ABS(E26)^1.76*E26/ABS(E26)</f>
        <v>1.3013858467848038E-2</v>
      </c>
      <c r="I26" s="5">
        <f>H26*C26</f>
        <v>0.39041575403544115</v>
      </c>
      <c r="J26" s="5">
        <f>I26/E26</f>
        <v>21.689764113080066</v>
      </c>
      <c r="K26" s="8"/>
      <c r="L26" s="8"/>
      <c r="M26" s="8"/>
      <c r="N26" s="8"/>
      <c r="O26" s="18"/>
    </row>
    <row r="27" spans="1:15" x14ac:dyDescent="0.25">
      <c r="A27" s="33"/>
      <c r="B27" s="23" t="s">
        <v>33</v>
      </c>
      <c r="C27" s="2">
        <v>55</v>
      </c>
      <c r="D27" s="2">
        <v>4.7190000000000003</v>
      </c>
      <c r="E27" s="2">
        <f t="shared" ref="E27:E29" si="6">D27/1000</f>
        <v>4.7190000000000001E-3</v>
      </c>
      <c r="F27" s="2">
        <v>75</v>
      </c>
      <c r="G27" s="2">
        <f t="shared" ref="G27:G29" si="7">F27/1000</f>
        <v>7.4999999999999997E-2</v>
      </c>
      <c r="H27" s="5">
        <f>8.21*10^-4*(G27*0.905)^-4.76*ABS(E27)^1.76*E27/ABS(E27)</f>
        <v>2.4064689722377245E-2</v>
      </c>
      <c r="I27" s="5">
        <f>H27*C27</f>
        <v>1.3235579347307485</v>
      </c>
      <c r="J27" s="5">
        <f>I27/E27</f>
        <v>280.47423918854599</v>
      </c>
      <c r="K27" s="8"/>
      <c r="L27" s="8"/>
      <c r="M27" s="8"/>
      <c r="N27" s="8"/>
      <c r="O27" s="18"/>
    </row>
    <row r="28" spans="1:15" x14ac:dyDescent="0.25">
      <c r="A28" s="33"/>
      <c r="B28" s="1" t="s">
        <v>34</v>
      </c>
      <c r="C28" s="1">
        <v>30</v>
      </c>
      <c r="D28" s="1">
        <v>-5.3780000000000001</v>
      </c>
      <c r="E28" s="1">
        <f>D28/1000</f>
        <v>-5.378E-3</v>
      </c>
      <c r="F28" s="1">
        <v>75</v>
      </c>
      <c r="G28" s="1">
        <f t="shared" si="7"/>
        <v>7.4999999999999997E-2</v>
      </c>
      <c r="H28" s="4">
        <f>8.21*10^-4*(G28*0.905)^-4.76*ABS(E28)^1.76*E28/ABS(E28)</f>
        <v>-3.0289835213706279E-2</v>
      </c>
      <c r="I28" s="4">
        <f>H28*C28</f>
        <v>-0.90869505641118842</v>
      </c>
      <c r="J28" s="4">
        <f>I28/E28</f>
        <v>168.96523919880781</v>
      </c>
      <c r="K28" s="8"/>
      <c r="L28" s="8"/>
      <c r="M28" s="8"/>
      <c r="N28" s="8"/>
      <c r="O28" s="18"/>
    </row>
    <row r="29" spans="1:15" x14ac:dyDescent="0.25">
      <c r="A29" s="33"/>
      <c r="B29" s="6" t="s">
        <v>35</v>
      </c>
      <c r="C29" s="6">
        <v>55</v>
      </c>
      <c r="D29" s="15">
        <v>-11.2</v>
      </c>
      <c r="E29" s="6">
        <f t="shared" si="6"/>
        <v>-1.12E-2</v>
      </c>
      <c r="F29" s="6">
        <v>110</v>
      </c>
      <c r="G29" s="6">
        <f t="shared" si="7"/>
        <v>0.11</v>
      </c>
      <c r="H29" s="7">
        <f>8.21*10^-4*(G29*0.905)^-4.76*ABS(E29)^1.76*E29/ABS(E29)</f>
        <v>-1.7794691313449719E-2</v>
      </c>
      <c r="I29" s="7">
        <f>H29*C29</f>
        <v>-0.97870802223973452</v>
      </c>
      <c r="J29" s="7">
        <f>I29/E29</f>
        <v>87.384644842833438</v>
      </c>
      <c r="K29" s="8"/>
      <c r="L29" s="8"/>
      <c r="M29" s="8"/>
      <c r="N29" s="8"/>
      <c r="O29" s="18"/>
    </row>
    <row r="30" spans="1:15" x14ac:dyDescent="0.25">
      <c r="A30" s="33"/>
      <c r="B30" s="8"/>
      <c r="C30" s="8"/>
      <c r="D30" s="8"/>
      <c r="E30" s="8"/>
      <c r="F30" s="8"/>
      <c r="G30" s="8"/>
      <c r="H30" s="9"/>
      <c r="I30" s="4">
        <f>SUM(I26:I29)</f>
        <v>-0.17342938988473333</v>
      </c>
      <c r="J30" s="4">
        <f>SUM(J26:J29)</f>
        <v>558.51388734326724</v>
      </c>
      <c r="K30" s="8"/>
      <c r="L30" s="8" t="s">
        <v>39</v>
      </c>
      <c r="M30" s="8">
        <f>-I30/(2*J30)*1000</f>
        <v>0.15525969346053359</v>
      </c>
      <c r="N30" s="8"/>
      <c r="O30" s="18"/>
    </row>
    <row r="31" spans="1:15" x14ac:dyDescent="0.25">
      <c r="A31" s="34"/>
      <c r="B31" s="20"/>
      <c r="C31" s="20"/>
      <c r="D31" s="20"/>
      <c r="E31" s="20"/>
      <c r="F31" s="20"/>
      <c r="G31" s="20"/>
      <c r="H31" s="21"/>
      <c r="I31" s="21"/>
      <c r="J31" s="21"/>
      <c r="K31" s="20"/>
      <c r="L31" s="20"/>
      <c r="M31" s="20"/>
      <c r="N31" s="20"/>
      <c r="O31" s="22"/>
    </row>
    <row r="32" spans="1:15" ht="15" customHeight="1" x14ac:dyDescent="0.25">
      <c r="A32" s="32" t="s">
        <v>13</v>
      </c>
      <c r="B32" s="1" t="s">
        <v>0</v>
      </c>
      <c r="C32" s="1" t="s">
        <v>11</v>
      </c>
      <c r="D32" s="1" t="s">
        <v>7</v>
      </c>
      <c r="E32" s="1" t="s">
        <v>8</v>
      </c>
      <c r="F32" s="1" t="s">
        <v>10</v>
      </c>
      <c r="G32" s="1" t="s">
        <v>9</v>
      </c>
      <c r="H32" s="4" t="s">
        <v>1</v>
      </c>
      <c r="I32" s="4" t="s">
        <v>2</v>
      </c>
      <c r="J32" s="4" t="s">
        <v>3</v>
      </c>
      <c r="K32" s="16"/>
      <c r="L32" s="16"/>
      <c r="M32" s="16"/>
      <c r="N32" s="16"/>
      <c r="O32" s="17"/>
    </row>
    <row r="33" spans="1:15" x14ac:dyDescent="0.25">
      <c r="A33" s="33"/>
      <c r="B33" s="1" t="s">
        <v>16</v>
      </c>
      <c r="C33" s="1">
        <v>70</v>
      </c>
      <c r="D33" s="1">
        <f>32.73+M8</f>
        <v>32.729999999999997</v>
      </c>
      <c r="E33" s="1">
        <f>D33/1000</f>
        <v>3.2729999999999995E-2</v>
      </c>
      <c r="F33" s="1">
        <v>200</v>
      </c>
      <c r="G33" s="1">
        <f>F33/1000</f>
        <v>0.2</v>
      </c>
      <c r="H33" s="4">
        <f>8.21*10^-4*(G33*0.905)^-4.76*ABS(E33)^1.76*E33/ABS(E33)</f>
        <v>6.8249285651694452E-3</v>
      </c>
      <c r="I33" s="4">
        <f>H33*C33</f>
        <v>0.47774499956186117</v>
      </c>
      <c r="J33" s="4">
        <f>I33/E33</f>
        <v>14.59654749654327</v>
      </c>
      <c r="K33" s="8"/>
      <c r="L33" s="8"/>
      <c r="M33" s="8"/>
      <c r="N33" s="8"/>
      <c r="O33" s="18"/>
    </row>
    <row r="34" spans="1:15" x14ac:dyDescent="0.25">
      <c r="A34" s="33"/>
      <c r="B34" s="2" t="s">
        <v>17</v>
      </c>
      <c r="C34" s="2">
        <v>25</v>
      </c>
      <c r="D34" s="2">
        <f>12.515+M8-M15</f>
        <v>12.515000000000001</v>
      </c>
      <c r="E34" s="2">
        <f>D34/1000</f>
        <v>1.2515E-2</v>
      </c>
      <c r="F34" s="2">
        <v>125</v>
      </c>
      <c r="G34" s="2">
        <f t="shared" ref="G34:G37" si="8">F34/1000</f>
        <v>0.125</v>
      </c>
      <c r="H34" s="5">
        <f>8.21*10^-4*(G34*0.905)^-4.76*ABS(E34)^1.76*E34/ABS(E34)</f>
        <v>1.1772875766077599E-2</v>
      </c>
      <c r="I34" s="5">
        <f>H34*C34</f>
        <v>0.29432189415193999</v>
      </c>
      <c r="J34" s="5">
        <f>I34/E34</f>
        <v>23.517530495560525</v>
      </c>
      <c r="K34" s="8"/>
      <c r="L34" s="8"/>
      <c r="M34" s="8"/>
      <c r="N34" s="8"/>
      <c r="O34" s="18"/>
    </row>
    <row r="35" spans="1:15" x14ac:dyDescent="0.25">
      <c r="A35" s="33"/>
      <c r="B35" s="2" t="s">
        <v>18</v>
      </c>
      <c r="C35" s="2">
        <v>40</v>
      </c>
      <c r="D35" s="2">
        <f>-4.719+M8-M15</f>
        <v>-4.7190000000000003</v>
      </c>
      <c r="E35" s="2">
        <f t="shared" ref="E35:E37" si="9">D35/1000</f>
        <v>-4.7190000000000001E-3</v>
      </c>
      <c r="F35" s="2">
        <v>75</v>
      </c>
      <c r="G35" s="2">
        <f t="shared" si="8"/>
        <v>7.4999999999999997E-2</v>
      </c>
      <c r="H35" s="5">
        <f>8.21*10^-4*(G35*0.905)^-4.76*ABS(E35)^1.76*E35/ABS(E35)</f>
        <v>-2.4064689722377245E-2</v>
      </c>
      <c r="I35" s="5">
        <f>H35*C35</f>
        <v>-0.96258758889508977</v>
      </c>
      <c r="J35" s="5">
        <f>I35/E35</f>
        <v>203.98126486439708</v>
      </c>
      <c r="K35" s="14"/>
      <c r="L35" s="14"/>
      <c r="M35" s="14"/>
      <c r="N35" s="14"/>
      <c r="O35" s="19"/>
    </row>
    <row r="36" spans="1:15" x14ac:dyDescent="0.25">
      <c r="A36" s="33"/>
      <c r="B36" s="2" t="s">
        <v>19</v>
      </c>
      <c r="C36" s="2">
        <v>30</v>
      </c>
      <c r="D36" s="2">
        <f>E6+M8-M15</f>
        <v>-1.7999999999999999E-2</v>
      </c>
      <c r="E36" s="2">
        <f t="shared" si="9"/>
        <v>-1.7999999999999997E-5</v>
      </c>
      <c r="F36" s="2">
        <v>140</v>
      </c>
      <c r="G36" s="2">
        <f t="shared" si="8"/>
        <v>0.14000000000000001</v>
      </c>
      <c r="H36" s="5">
        <f>8.21*10^-4*(G36*0.905)^-4.76*ABS(E36)^1.76*E36/ABS(E36)</f>
        <v>-6.8297700105613128E-8</v>
      </c>
      <c r="I36" s="5">
        <f>H36*C36</f>
        <v>-2.0489310031683939E-6</v>
      </c>
      <c r="J36" s="5">
        <f>I36/E36</f>
        <v>0.11382950017602191</v>
      </c>
      <c r="K36" s="14"/>
      <c r="L36" s="14"/>
      <c r="M36" s="14"/>
      <c r="N36" s="14"/>
      <c r="O36" s="19"/>
    </row>
    <row r="37" spans="1:15" x14ac:dyDescent="0.25">
      <c r="A37" s="33"/>
      <c r="B37" s="6" t="s">
        <v>20</v>
      </c>
      <c r="C37" s="6">
        <v>25</v>
      </c>
      <c r="D37" s="15">
        <f>D7+M8</f>
        <v>-36.734999999999999</v>
      </c>
      <c r="E37" s="15">
        <f t="shared" si="9"/>
        <v>-3.6734999999999997E-2</v>
      </c>
      <c r="F37" s="1">
        <v>200</v>
      </c>
      <c r="G37" s="1">
        <f t="shared" si="8"/>
        <v>0.2</v>
      </c>
      <c r="H37" s="4">
        <f>8.21*10^-4*(G37*0.905)^-4.76*ABS(E37)^1.76*E37/ABS(E37)</f>
        <v>-8.3624593274425167E-3</v>
      </c>
      <c r="I37" s="4">
        <f>H37*C37</f>
        <v>-0.20906148318606291</v>
      </c>
      <c r="J37" s="4">
        <f>I37/E37</f>
        <v>5.6910707278089809</v>
      </c>
      <c r="K37" s="8"/>
      <c r="L37" s="8"/>
      <c r="M37" s="8"/>
      <c r="N37" s="8"/>
      <c r="O37" s="18"/>
    </row>
    <row r="38" spans="1:15" x14ac:dyDescent="0.25">
      <c r="A38" s="33"/>
      <c r="B38" s="8"/>
      <c r="C38" s="8"/>
      <c r="D38" s="8"/>
      <c r="E38" s="8"/>
      <c r="F38" s="8"/>
      <c r="G38" s="8"/>
      <c r="H38" s="9"/>
      <c r="I38" s="4">
        <f>SUM(I33:I37)</f>
        <v>-0.39958422729835474</v>
      </c>
      <c r="J38" s="4">
        <f>SUM(J33:J37)</f>
        <v>247.90024308448588</v>
      </c>
      <c r="K38" s="8"/>
      <c r="L38" s="8" t="s">
        <v>4</v>
      </c>
      <c r="M38" s="8">
        <f>-I38/(2*J38)*1000</f>
        <v>0.80593754634232861</v>
      </c>
      <c r="N38" s="8"/>
      <c r="O38" s="18"/>
    </row>
    <row r="39" spans="1:15" x14ac:dyDescent="0.25">
      <c r="A39" s="33"/>
      <c r="B39" s="8"/>
      <c r="C39" s="8"/>
      <c r="D39" s="8"/>
      <c r="E39" s="8"/>
      <c r="F39" s="8"/>
      <c r="G39" s="8"/>
      <c r="H39" s="9"/>
      <c r="I39" s="9"/>
      <c r="J39" s="9"/>
      <c r="K39" s="8"/>
      <c r="L39" s="8"/>
      <c r="M39" s="8"/>
      <c r="N39" s="8"/>
      <c r="O39" s="18"/>
    </row>
    <row r="40" spans="1:15" x14ac:dyDescent="0.25">
      <c r="A40" s="33"/>
      <c r="B40" s="1" t="s">
        <v>6</v>
      </c>
      <c r="C40" s="1" t="s">
        <v>11</v>
      </c>
      <c r="D40" s="1" t="s">
        <v>7</v>
      </c>
      <c r="E40" s="1" t="s">
        <v>8</v>
      </c>
      <c r="F40" s="1" t="s">
        <v>10</v>
      </c>
      <c r="G40" s="1" t="s">
        <v>9</v>
      </c>
      <c r="H40" s="4" t="s">
        <v>1</v>
      </c>
      <c r="I40" s="4" t="s">
        <v>2</v>
      </c>
      <c r="J40" s="4" t="s">
        <v>3</v>
      </c>
      <c r="K40" s="8"/>
      <c r="L40" s="8"/>
      <c r="M40" s="8"/>
      <c r="N40" s="8"/>
      <c r="O40" s="18">
        <f>AVERAGE(M38,M45,M53,M60)</f>
        <v>-9.5344922557118357E-4</v>
      </c>
    </row>
    <row r="41" spans="1:15" x14ac:dyDescent="0.25">
      <c r="A41" s="33"/>
      <c r="B41" s="1" t="s">
        <v>23</v>
      </c>
      <c r="C41" s="1">
        <v>25</v>
      </c>
      <c r="D41" s="1">
        <f>12+M15</f>
        <v>12</v>
      </c>
      <c r="E41" s="1">
        <f>D41/1000</f>
        <v>1.2E-2</v>
      </c>
      <c r="F41" s="1">
        <v>125</v>
      </c>
      <c r="G41" s="1">
        <f>F41/1000</f>
        <v>0.125</v>
      </c>
      <c r="H41" s="4">
        <f>8.21*10^-4*(G41*0.905)^-4.76*ABS(E41)^1.76*E41/ABS(E41)</f>
        <v>1.0933601757680199E-2</v>
      </c>
      <c r="I41" s="4">
        <f>H41*C41</f>
        <v>0.27334004394200501</v>
      </c>
      <c r="J41" s="4">
        <f>I41/E41</f>
        <v>22.778336995167084</v>
      </c>
      <c r="K41" s="8"/>
      <c r="L41" s="8"/>
      <c r="M41" s="8"/>
      <c r="N41" s="8"/>
      <c r="O41" s="18"/>
    </row>
    <row r="42" spans="1:15" x14ac:dyDescent="0.25">
      <c r="A42" s="33"/>
      <c r="B42" s="6" t="s">
        <v>24</v>
      </c>
      <c r="C42" s="6">
        <v>80</v>
      </c>
      <c r="D42" s="6">
        <f>4.808+M15</f>
        <v>4.8079999999999998</v>
      </c>
      <c r="E42" s="6">
        <f t="shared" ref="E42:E45" si="10">D42/1000</f>
        <v>4.8079999999999998E-3</v>
      </c>
      <c r="F42" s="6">
        <v>75</v>
      </c>
      <c r="G42" s="6">
        <f t="shared" ref="G42:G45" si="11">F42/1000</f>
        <v>7.4999999999999997E-2</v>
      </c>
      <c r="H42" s="7">
        <f>8.21*10^-4*(G42*0.905)^-4.76*ABS(E42)^1.76*E42/ABS(E42)</f>
        <v>2.4869196519032657E-2</v>
      </c>
      <c r="I42" s="7">
        <f>H42*C42</f>
        <v>1.9895357215226126</v>
      </c>
      <c r="J42" s="7">
        <f>I42/E42</f>
        <v>413.7969470720908</v>
      </c>
      <c r="K42" s="8"/>
      <c r="L42" s="8"/>
      <c r="M42" s="8"/>
      <c r="N42" s="8"/>
      <c r="O42" s="18"/>
    </row>
    <row r="43" spans="1:15" x14ac:dyDescent="0.25">
      <c r="A43" s="33"/>
      <c r="B43" s="1" t="s">
        <v>25</v>
      </c>
      <c r="C43" s="1">
        <v>25</v>
      </c>
      <c r="D43" s="1">
        <f>-2.329+M15</f>
        <v>-2.3290000000000002</v>
      </c>
      <c r="E43" s="1">
        <f t="shared" si="10"/>
        <v>-2.3290000000000003E-3</v>
      </c>
      <c r="F43" s="1">
        <v>63</v>
      </c>
      <c r="G43" s="1">
        <f t="shared" si="11"/>
        <v>6.3E-2</v>
      </c>
      <c r="H43" s="4">
        <f>8.21*10^-4*(G43*0.905)^-4.76*ABS(E43)^1.76*E43/ABS(E43)</f>
        <v>-1.5924037972194938E-2</v>
      </c>
      <c r="I43" s="4">
        <f>H43*C43</f>
        <v>-0.39810094930487344</v>
      </c>
      <c r="J43" s="4">
        <f>I43/E43</f>
        <v>170.93213795829686</v>
      </c>
      <c r="K43" s="8"/>
      <c r="L43" s="8"/>
      <c r="M43" s="8"/>
      <c r="N43" s="8"/>
      <c r="O43" s="18"/>
    </row>
    <row r="44" spans="1:15" x14ac:dyDescent="0.25">
      <c r="A44" s="33"/>
      <c r="B44" s="2" t="s">
        <v>26</v>
      </c>
      <c r="C44" s="2">
        <v>55</v>
      </c>
      <c r="D44" s="2">
        <f>-9.014+M15-M8</f>
        <v>-9.0139999999999993</v>
      </c>
      <c r="E44" s="2">
        <f t="shared" si="10"/>
        <v>-9.0139999999999994E-3</v>
      </c>
      <c r="F44" s="2">
        <v>110</v>
      </c>
      <c r="G44" s="2">
        <f t="shared" si="11"/>
        <v>0.11</v>
      </c>
      <c r="H44" s="5">
        <f>8.21*10^-4*(G44*0.905)^-4.76*ABS(E44)^1.76*E44/ABS(E44)</f>
        <v>-1.2142878046386056E-2</v>
      </c>
      <c r="I44" s="5">
        <f>H44*C44</f>
        <v>-0.66785829255123308</v>
      </c>
      <c r="J44" s="5">
        <f>I44/E44</f>
        <v>74.09122393512682</v>
      </c>
      <c r="K44" s="8"/>
      <c r="L44" s="8"/>
      <c r="M44" s="8"/>
      <c r="N44" s="8"/>
      <c r="O44" s="18"/>
    </row>
    <row r="45" spans="1:15" x14ac:dyDescent="0.25">
      <c r="A45" s="33"/>
      <c r="B45" s="2" t="s">
        <v>27</v>
      </c>
      <c r="C45" s="2">
        <v>25</v>
      </c>
      <c r="D45" s="13">
        <f>-12.515+M15-M8</f>
        <v>-12.515000000000001</v>
      </c>
      <c r="E45" s="13">
        <f t="shared" si="10"/>
        <v>-1.2515E-2</v>
      </c>
      <c r="F45" s="2">
        <v>125</v>
      </c>
      <c r="G45" s="2">
        <f t="shared" si="11"/>
        <v>0.125</v>
      </c>
      <c r="H45" s="5">
        <f>8.21*10^-4*(G45*0.905)^-4.76*ABS(E45)^1.76*E45/ABS(E45)</f>
        <v>-1.1772875766077599E-2</v>
      </c>
      <c r="I45" s="5">
        <f>SUM(I41:I44)</f>
        <v>1.1969165236085111</v>
      </c>
      <c r="J45" s="5">
        <f>SUM(J41:J44)</f>
        <v>681.59864596068155</v>
      </c>
      <c r="K45" s="8"/>
      <c r="L45" s="8" t="s">
        <v>5</v>
      </c>
      <c r="M45" s="8">
        <f>-I45/(2*J45)*1000</f>
        <v>-0.87802149454207978</v>
      </c>
      <c r="N45" s="8"/>
      <c r="O45" s="18"/>
    </row>
    <row r="46" spans="1:15" x14ac:dyDescent="0.25">
      <c r="A46" s="33"/>
      <c r="B46" s="14"/>
      <c r="C46" s="14"/>
      <c r="D46" s="35"/>
      <c r="E46" s="35"/>
      <c r="F46" s="14"/>
      <c r="G46" s="14"/>
      <c r="H46" s="36"/>
      <c r="I46" s="36">
        <f>SUM(I41:I45)</f>
        <v>2.3938330472170222</v>
      </c>
      <c r="J46" s="36">
        <f>SUM(J41:J44)</f>
        <v>681.59864596068155</v>
      </c>
      <c r="K46" s="8"/>
      <c r="L46" s="8"/>
      <c r="M46" s="8"/>
      <c r="N46" s="8"/>
      <c r="O46" s="18"/>
    </row>
    <row r="47" spans="1:15" x14ac:dyDescent="0.25">
      <c r="A47" s="33"/>
      <c r="B47" s="8"/>
      <c r="C47" s="8"/>
      <c r="D47" s="8"/>
      <c r="E47" s="8"/>
      <c r="F47" s="8"/>
      <c r="G47" s="8"/>
      <c r="H47" s="9"/>
      <c r="I47" s="9"/>
      <c r="J47" s="9"/>
      <c r="K47" s="8"/>
      <c r="L47" s="8"/>
      <c r="M47" s="8"/>
      <c r="N47" s="8"/>
      <c r="O47" s="18"/>
    </row>
    <row r="48" spans="1:15" x14ac:dyDescent="0.25">
      <c r="A48" s="33"/>
      <c r="B48" s="1" t="s">
        <v>36</v>
      </c>
      <c r="C48" s="1" t="s">
        <v>11</v>
      </c>
      <c r="D48" s="1" t="s">
        <v>7</v>
      </c>
      <c r="E48" s="1" t="s">
        <v>8</v>
      </c>
      <c r="F48" s="1" t="s">
        <v>10</v>
      </c>
      <c r="G48" s="1" t="s">
        <v>9</v>
      </c>
      <c r="H48" s="4" t="s">
        <v>1</v>
      </c>
      <c r="I48" s="4" t="s">
        <v>2</v>
      </c>
      <c r="J48" s="4" t="s">
        <v>3</v>
      </c>
      <c r="K48" s="8"/>
      <c r="L48" s="8"/>
      <c r="M48" s="8"/>
      <c r="N48" s="8"/>
      <c r="O48" s="18"/>
    </row>
    <row r="49" spans="1:15" x14ac:dyDescent="0.25">
      <c r="A49" s="33"/>
      <c r="B49" s="11" t="s">
        <v>28</v>
      </c>
      <c r="C49" s="11">
        <v>40</v>
      </c>
      <c r="D49" s="11">
        <f>4.719+M23-M8</f>
        <v>4.7190000000000003</v>
      </c>
      <c r="E49" s="11">
        <f>D49/1000</f>
        <v>4.7190000000000001E-3</v>
      </c>
      <c r="F49" s="11">
        <v>75</v>
      </c>
      <c r="G49" s="11">
        <f>F49/1000</f>
        <v>7.4999999999999997E-2</v>
      </c>
      <c r="H49" s="27">
        <f>8.21*10^-4*(G49*0.905)^-4.76*ABS(E49)^1.76*E49/ABS(E49)</f>
        <v>2.4064689722377245E-2</v>
      </c>
      <c r="I49" s="27">
        <f>H49*C49</f>
        <v>0.96258758889508977</v>
      </c>
      <c r="J49" s="27">
        <f>I49/E49</f>
        <v>203.98126486439708</v>
      </c>
      <c r="K49" s="8"/>
      <c r="L49" s="8"/>
      <c r="M49" s="8"/>
      <c r="N49" s="8"/>
      <c r="O49" s="18"/>
    </row>
    <row r="50" spans="1:15" x14ac:dyDescent="0.25">
      <c r="A50" s="33"/>
      <c r="B50" s="11" t="s">
        <v>29</v>
      </c>
      <c r="C50" s="11">
        <v>55</v>
      </c>
      <c r="D50" s="13">
        <f>9.014+M23-M15</f>
        <v>9.0139999999999993</v>
      </c>
      <c r="E50" s="2">
        <f t="shared" ref="E50:E52" si="12">D50/1000</f>
        <v>9.0139999999999994E-3</v>
      </c>
      <c r="F50" s="2">
        <v>110</v>
      </c>
      <c r="G50" s="2">
        <f t="shared" ref="G50:G52" si="13">F50/1000</f>
        <v>0.11</v>
      </c>
      <c r="H50" s="5">
        <f>8.21*10^-4*(G50*0.905)^-4.76*ABS(E50)^1.76*E50/ABS(E50)</f>
        <v>1.2142878046386056E-2</v>
      </c>
      <c r="I50" s="5">
        <f>H50*C50</f>
        <v>0.66785829255123308</v>
      </c>
      <c r="J50" s="5">
        <f>I50/E50</f>
        <v>74.09122393512682</v>
      </c>
      <c r="K50" s="8"/>
      <c r="L50" s="8"/>
      <c r="M50" s="8"/>
      <c r="N50" s="8"/>
      <c r="O50" s="18"/>
    </row>
    <row r="51" spans="1:15" x14ac:dyDescent="0.25">
      <c r="A51" s="33"/>
      <c r="B51" s="1" t="s">
        <v>30</v>
      </c>
      <c r="C51" s="1">
        <v>40</v>
      </c>
      <c r="D51" s="1">
        <f>-1.535+M23</f>
        <v>-1.5349999999999999</v>
      </c>
      <c r="E51" s="1">
        <f t="shared" si="12"/>
        <v>-1.5349999999999999E-3</v>
      </c>
      <c r="F51" s="1">
        <v>63</v>
      </c>
      <c r="G51" s="1">
        <f t="shared" si="13"/>
        <v>6.3E-2</v>
      </c>
      <c r="H51" s="4">
        <f>8.21*10^-4*(G51*0.905)^-4.76*ABS(E51)^1.76*E51/ABS(E51)</f>
        <v>-7.645143704295026E-3</v>
      </c>
      <c r="I51" s="4">
        <f>H51*C51</f>
        <v>-0.30580574817180106</v>
      </c>
      <c r="J51" s="4">
        <f>I51/E51</f>
        <v>199.22198577967498</v>
      </c>
      <c r="K51" s="8"/>
      <c r="L51" s="8"/>
      <c r="M51" s="8"/>
      <c r="N51" s="8"/>
      <c r="O51" s="18"/>
    </row>
    <row r="52" spans="1:15" x14ac:dyDescent="0.25">
      <c r="A52" s="33"/>
      <c r="B52" s="11" t="s">
        <v>31</v>
      </c>
      <c r="C52" s="11">
        <v>55</v>
      </c>
      <c r="D52" s="2">
        <f>-4.719+M23-M30</f>
        <v>-4.8742596934605338</v>
      </c>
      <c r="E52" s="2">
        <f t="shared" si="12"/>
        <v>-4.8742596934605335E-3</v>
      </c>
      <c r="F52" s="2">
        <v>75</v>
      </c>
      <c r="G52" s="2">
        <f t="shared" si="13"/>
        <v>7.4999999999999997E-2</v>
      </c>
      <c r="H52" s="5">
        <f>8.21*10^-4*(G52*0.905)^-4.76*ABS(E52)^1.76*E52/ABS(E52)</f>
        <v>-2.5475549188621615E-2</v>
      </c>
      <c r="I52" s="5">
        <f>H52*C52</f>
        <v>-1.4011552053741889</v>
      </c>
      <c r="J52" s="5">
        <f>I52/E52</f>
        <v>287.46010542975881</v>
      </c>
      <c r="K52" s="8"/>
      <c r="L52" s="8"/>
      <c r="M52" s="8"/>
      <c r="N52" s="8"/>
      <c r="O52" s="18"/>
    </row>
    <row r="53" spans="1:15" x14ac:dyDescent="0.25">
      <c r="A53" s="33"/>
      <c r="B53" s="8"/>
      <c r="C53" s="8"/>
      <c r="D53" s="8"/>
      <c r="E53" s="8"/>
      <c r="F53" s="8"/>
      <c r="G53" s="8"/>
      <c r="H53" s="9"/>
      <c r="I53" s="4">
        <f>SUM(I49:I52)</f>
        <v>-7.6515072099667014E-2</v>
      </c>
      <c r="J53" s="4">
        <f>SUM(J49:J52)</f>
        <v>764.75458000895765</v>
      </c>
      <c r="K53" s="8"/>
      <c r="L53" s="8" t="s">
        <v>38</v>
      </c>
      <c r="M53" s="8">
        <f>-I53/(2*J53)*1000</f>
        <v>5.0025899876775359E-2</v>
      </c>
      <c r="N53" s="8"/>
      <c r="O53" s="18"/>
    </row>
    <row r="54" spans="1:15" x14ac:dyDescent="0.25">
      <c r="A54" s="33"/>
      <c r="B54" s="8"/>
      <c r="C54" s="8"/>
      <c r="D54" s="8"/>
      <c r="E54" s="8"/>
      <c r="F54" s="8"/>
      <c r="G54" s="8"/>
      <c r="H54" s="9"/>
      <c r="I54" s="9"/>
      <c r="J54" s="9"/>
      <c r="K54" s="8"/>
      <c r="L54" s="8"/>
      <c r="M54" s="8"/>
      <c r="N54" s="8"/>
      <c r="O54" s="18"/>
    </row>
    <row r="55" spans="1:15" x14ac:dyDescent="0.25">
      <c r="A55" s="33"/>
      <c r="B55" s="1" t="s">
        <v>37</v>
      </c>
      <c r="C55" s="1" t="s">
        <v>11</v>
      </c>
      <c r="D55" s="1" t="s">
        <v>7</v>
      </c>
      <c r="E55" s="1" t="s">
        <v>8</v>
      </c>
      <c r="F55" s="1" t="s">
        <v>10</v>
      </c>
      <c r="G55" s="1" t="s">
        <v>9</v>
      </c>
      <c r="H55" s="4" t="s">
        <v>1</v>
      </c>
      <c r="I55" s="4" t="s">
        <v>2</v>
      </c>
      <c r="J55" s="4" t="s">
        <v>3</v>
      </c>
      <c r="K55" s="8"/>
      <c r="L55" s="8"/>
      <c r="M55" s="8"/>
      <c r="N55" s="8"/>
      <c r="O55" s="18"/>
    </row>
    <row r="56" spans="1:15" x14ac:dyDescent="0.25">
      <c r="A56" s="33"/>
      <c r="B56" s="23" t="s">
        <v>32</v>
      </c>
      <c r="C56" s="2">
        <v>30</v>
      </c>
      <c r="D56" s="2">
        <f>18+M30-M8</f>
        <v>18.155259693460533</v>
      </c>
      <c r="E56" s="2">
        <f>D56/1000</f>
        <v>1.8155259693460532E-2</v>
      </c>
      <c r="F56" s="2">
        <v>140</v>
      </c>
      <c r="G56" s="2">
        <f>F56/1000</f>
        <v>0.14000000000000001</v>
      </c>
      <c r="H56" s="5">
        <f>8.21*10^-4*(G56*0.905)^-4.76*ABS(E56)^1.76*E56/ABS(E56)</f>
        <v>1.3212068280540348E-2</v>
      </c>
      <c r="I56" s="5">
        <f>H56*C56</f>
        <v>0.39636204841621048</v>
      </c>
      <c r="J56" s="5">
        <f>I56/E56</f>
        <v>21.831802745238551</v>
      </c>
      <c r="K56" s="8"/>
      <c r="L56" s="8"/>
      <c r="M56" s="8"/>
      <c r="N56" s="8"/>
      <c r="O56" s="18"/>
    </row>
    <row r="57" spans="1:15" x14ac:dyDescent="0.25">
      <c r="A57" s="33"/>
      <c r="B57" s="23" t="s">
        <v>33</v>
      </c>
      <c r="C57" s="2">
        <v>55</v>
      </c>
      <c r="D57" s="2">
        <f>4.719+M30-M23</f>
        <v>4.8742596934605338</v>
      </c>
      <c r="E57" s="2">
        <f t="shared" ref="E57" si="14">D57/1000</f>
        <v>4.8742596934605335E-3</v>
      </c>
      <c r="F57" s="2">
        <v>75</v>
      </c>
      <c r="G57" s="2">
        <f t="shared" ref="G57:G59" si="15">F57/1000</f>
        <v>7.4999999999999997E-2</v>
      </c>
      <c r="H57" s="5">
        <f>8.21*10^-4*(G57*0.905)^-4.76*ABS(E57)^1.76*E57/ABS(E57)</f>
        <v>2.5475549188621615E-2</v>
      </c>
      <c r="I57" s="5">
        <f>H57*C57</f>
        <v>1.4011552053741889</v>
      </c>
      <c r="J57" s="5">
        <f>I57/E57</f>
        <v>287.46010542975881</v>
      </c>
      <c r="K57" s="8"/>
      <c r="L57" s="8"/>
      <c r="M57" s="8"/>
      <c r="N57" s="8"/>
      <c r="O57" s="18"/>
    </row>
    <row r="58" spans="1:15" x14ac:dyDescent="0.25">
      <c r="A58" s="33"/>
      <c r="B58" s="1" t="s">
        <v>34</v>
      </c>
      <c r="C58" s="1">
        <v>30</v>
      </c>
      <c r="D58" s="1">
        <f>-5.378+M30</f>
        <v>-5.2227403065394666</v>
      </c>
      <c r="E58" s="1">
        <f>D58/1000</f>
        <v>-5.2227403065394666E-3</v>
      </c>
      <c r="F58" s="1">
        <v>75</v>
      </c>
      <c r="G58" s="1">
        <f t="shared" si="15"/>
        <v>7.4999999999999997E-2</v>
      </c>
      <c r="H58" s="4">
        <f>8.21*10^-4*(G58*0.905)^-4.76*ABS(E58)^1.76*E58/ABS(E58)</f>
        <v>-2.8767726829384634E-2</v>
      </c>
      <c r="I58" s="4">
        <f>H58*C58</f>
        <v>-0.86303180488153908</v>
      </c>
      <c r="J58" s="4">
        <f>I58/E58</f>
        <v>165.24501587814444</v>
      </c>
      <c r="K58" s="8"/>
      <c r="L58" s="8"/>
      <c r="M58" s="8"/>
      <c r="N58" s="8"/>
      <c r="O58" s="18"/>
    </row>
    <row r="59" spans="1:15" x14ac:dyDescent="0.25">
      <c r="A59" s="33"/>
      <c r="B59" s="6" t="s">
        <v>35</v>
      </c>
      <c r="C59" s="6">
        <v>55</v>
      </c>
      <c r="D59" s="15">
        <f>-11.2+M30</f>
        <v>-11.044740306539465</v>
      </c>
      <c r="E59" s="6">
        <f t="shared" ref="E59" si="16">D59/1000</f>
        <v>-1.1044740306539465E-2</v>
      </c>
      <c r="F59" s="6">
        <v>110</v>
      </c>
      <c r="G59" s="6">
        <f t="shared" si="15"/>
        <v>0.11</v>
      </c>
      <c r="H59" s="7">
        <f>8.21*10^-4*(G59*0.905)^-4.76*ABS(E59)^1.76*E59/ABS(E59)</f>
        <v>-1.7362826849551431E-2</v>
      </c>
      <c r="I59" s="7">
        <f>H59*C59</f>
        <v>-0.95495547672532866</v>
      </c>
      <c r="J59" s="7">
        <f>I59/E59</f>
        <v>86.462465410790188</v>
      </c>
      <c r="K59" s="8"/>
      <c r="L59" s="8"/>
      <c r="M59" s="8"/>
      <c r="N59" s="8"/>
      <c r="O59" s="18"/>
    </row>
    <row r="60" spans="1:15" x14ac:dyDescent="0.25">
      <c r="A60" s="33"/>
      <c r="B60" s="8"/>
      <c r="C60" s="8"/>
      <c r="D60" s="8"/>
      <c r="E60" s="8"/>
      <c r="F60" s="8"/>
      <c r="G60" s="8"/>
      <c r="H60" s="9"/>
      <c r="I60" s="4">
        <f>SUM(I56:I59)</f>
        <v>-2.0470027816468339E-2</v>
      </c>
      <c r="J60" s="4">
        <f>SUM(J56:J59)</f>
        <v>560.99938946393206</v>
      </c>
      <c r="K60" s="8"/>
      <c r="L60" s="8" t="s">
        <v>39</v>
      </c>
      <c r="M60" s="8">
        <f>-I60/(2*J60)*1000</f>
        <v>1.8244251420691075E-2</v>
      </c>
      <c r="N60" s="8"/>
      <c r="O60" s="18"/>
    </row>
    <row r="61" spans="1:15" x14ac:dyDescent="0.25">
      <c r="A61" s="34"/>
      <c r="B61" s="20"/>
      <c r="C61" s="20"/>
      <c r="D61" s="20"/>
      <c r="E61" s="20"/>
      <c r="F61" s="20"/>
      <c r="G61" s="20"/>
      <c r="H61" s="21"/>
      <c r="I61" s="21"/>
      <c r="J61" s="21"/>
      <c r="K61" s="20"/>
      <c r="L61" s="20"/>
      <c r="M61" s="20"/>
      <c r="N61" s="20"/>
      <c r="O61" s="22"/>
    </row>
    <row r="62" spans="1:15" ht="15" customHeight="1" x14ac:dyDescent="0.25">
      <c r="A62" s="32" t="s">
        <v>14</v>
      </c>
      <c r="B62" s="1" t="s">
        <v>0</v>
      </c>
      <c r="C62" s="1" t="s">
        <v>11</v>
      </c>
      <c r="D62" s="1" t="s">
        <v>7</v>
      </c>
      <c r="E62" s="1" t="s">
        <v>8</v>
      </c>
      <c r="F62" s="1" t="s">
        <v>10</v>
      </c>
      <c r="G62" s="1" t="s">
        <v>9</v>
      </c>
      <c r="H62" s="4" t="s">
        <v>1</v>
      </c>
      <c r="I62" s="4" t="s">
        <v>2</v>
      </c>
      <c r="J62" s="4" t="s">
        <v>3</v>
      </c>
      <c r="K62" s="16"/>
      <c r="L62" s="16"/>
      <c r="M62" s="16"/>
      <c r="N62" s="16"/>
      <c r="O62" s="17"/>
    </row>
    <row r="63" spans="1:15" x14ac:dyDescent="0.25">
      <c r="A63" s="33"/>
      <c r="B63" s="1" t="s">
        <v>16</v>
      </c>
      <c r="C63" s="1">
        <v>70</v>
      </c>
      <c r="D63" s="1">
        <f>32.735+M45</f>
        <v>31.856978505457921</v>
      </c>
      <c r="E63" s="1">
        <f>D63/1000</f>
        <v>3.185697850545792E-2</v>
      </c>
      <c r="F63" s="1">
        <v>200</v>
      </c>
      <c r="G63" s="1">
        <f>F63/1000</f>
        <v>0.2</v>
      </c>
      <c r="H63" s="4">
        <f>8.21*10^-4*(G63*0.905)^-4.76*ABS(E63)^1.76*E63/ABS(E63)</f>
        <v>6.5077851404025042E-3</v>
      </c>
      <c r="I63" s="4">
        <f>H63*C63</f>
        <v>0.45554495982817528</v>
      </c>
      <c r="J63" s="4">
        <f>I63/E63</f>
        <v>14.299691345496834</v>
      </c>
      <c r="K63" s="8"/>
      <c r="L63" s="8"/>
      <c r="M63" s="8"/>
      <c r="N63" s="8"/>
      <c r="O63" s="18"/>
    </row>
    <row r="64" spans="1:15" x14ac:dyDescent="0.25">
      <c r="A64" s="33"/>
      <c r="B64" s="2" t="s">
        <v>17</v>
      </c>
      <c r="C64" s="2">
        <v>25</v>
      </c>
      <c r="D64" s="2">
        <f>12.515+M38-M45</f>
        <v>14.198959040884409</v>
      </c>
      <c r="E64" s="2">
        <f>D64/1000</f>
        <v>1.4198959040884409E-2</v>
      </c>
      <c r="F64" s="2">
        <v>125</v>
      </c>
      <c r="G64" s="2">
        <f t="shared" ref="G64:G67" si="17">F64/1000</f>
        <v>0.125</v>
      </c>
      <c r="H64" s="5">
        <f>8.21*10^-4*(G64*0.905)^-4.76*ABS(E64)^1.76*E64/ABS(E64)</f>
        <v>1.4701975999649286E-2</v>
      </c>
      <c r="I64" s="5">
        <f>H64*C64</f>
        <v>0.36754939999123215</v>
      </c>
      <c r="J64" s="5">
        <f>I64/E64</f>
        <v>25.885658162187262</v>
      </c>
      <c r="K64" s="8"/>
      <c r="L64" s="8"/>
      <c r="M64" s="8"/>
      <c r="N64" s="8"/>
      <c r="O64" s="18"/>
    </row>
    <row r="65" spans="1:15" x14ac:dyDescent="0.25">
      <c r="A65" s="33"/>
      <c r="B65" s="2" t="s">
        <v>18</v>
      </c>
      <c r="C65" s="2">
        <v>40</v>
      </c>
      <c r="D65" s="2">
        <f>D35+M38-M45</f>
        <v>-3.0350409591155918</v>
      </c>
      <c r="E65" s="2">
        <f t="shared" ref="E65:E67" si="18">D65/1000</f>
        <v>-3.0350409591155918E-3</v>
      </c>
      <c r="F65" s="2">
        <v>75</v>
      </c>
      <c r="G65" s="2">
        <f t="shared" si="17"/>
        <v>7.4999999999999997E-2</v>
      </c>
      <c r="H65" s="5">
        <f>8.21*10^-D375*(G65*0.905)^-4.76*ABS(E65)^1.76*E65/ABS(E65)</f>
        <v>-110.66592685042345</v>
      </c>
      <c r="I65" s="5">
        <f>H65*C65</f>
        <v>-4426.6370740169377</v>
      </c>
      <c r="J65" s="5">
        <f>I65/E65</f>
        <v>1458509.8302287348</v>
      </c>
      <c r="K65" s="14"/>
      <c r="L65" s="14"/>
      <c r="M65" s="14"/>
      <c r="N65" s="14"/>
      <c r="O65" s="19"/>
    </row>
    <row r="66" spans="1:15" x14ac:dyDescent="0.25">
      <c r="A66" s="33"/>
      <c r="B66" s="2" t="s">
        <v>19</v>
      </c>
      <c r="C66" s="2">
        <v>30</v>
      </c>
      <c r="D66" s="2">
        <f>-18+M38-M45</f>
        <v>-16.316040959115593</v>
      </c>
      <c r="E66" s="2">
        <f t="shared" si="18"/>
        <v>-1.6316040959115593E-2</v>
      </c>
      <c r="F66" s="2">
        <v>140</v>
      </c>
      <c r="G66" s="2">
        <f t="shared" si="17"/>
        <v>0.14000000000000001</v>
      </c>
      <c r="H66" s="5"/>
      <c r="I66" s="5">
        <f>H66*C66</f>
        <v>0</v>
      </c>
      <c r="J66" s="5">
        <f>I66/E66</f>
        <v>0</v>
      </c>
      <c r="K66" s="14"/>
      <c r="L66" s="14"/>
      <c r="M66" s="14"/>
      <c r="N66" s="14"/>
      <c r="O66" s="19"/>
    </row>
    <row r="67" spans="1:15" x14ac:dyDescent="0.25">
      <c r="A67" s="33"/>
      <c r="B67" s="6" t="s">
        <v>20</v>
      </c>
      <c r="C67" s="6">
        <v>25</v>
      </c>
      <c r="D67" s="15">
        <f>-36.735+M38</f>
        <v>-35.929062453657671</v>
      </c>
      <c r="E67" s="15">
        <f t="shared" si="18"/>
        <v>-3.5929062453657672E-2</v>
      </c>
      <c r="F67" s="1">
        <v>200</v>
      </c>
      <c r="G67" s="1">
        <f t="shared" si="17"/>
        <v>0.2</v>
      </c>
      <c r="H67" s="4">
        <f>8.21*10^-4*(G67*0.905)^-4.76*ABS(E67)^1.76*E67/ABS(E67)</f>
        <v>-8.0422560822702473E-3</v>
      </c>
      <c r="I67" s="4">
        <f>H67*C67</f>
        <v>-0.20105640205675618</v>
      </c>
      <c r="J67" s="4">
        <f>I67/E67</f>
        <v>5.5959267602956366</v>
      </c>
      <c r="K67" s="8"/>
      <c r="L67" s="8"/>
      <c r="M67" s="8"/>
      <c r="N67" s="8"/>
      <c r="O67" s="18"/>
    </row>
    <row r="68" spans="1:15" x14ac:dyDescent="0.25">
      <c r="A68" s="33"/>
      <c r="B68" s="8"/>
      <c r="C68" s="8"/>
      <c r="D68" s="8"/>
      <c r="E68" s="8"/>
      <c r="F68" s="8"/>
      <c r="G68" s="8"/>
      <c r="H68" s="9"/>
      <c r="I68" s="4">
        <f>SUM(I63:I67)</f>
        <v>-4426.0150360591751</v>
      </c>
      <c r="J68" s="4">
        <f>SUM(J63:J67)</f>
        <v>1458555.6115050027</v>
      </c>
      <c r="K68" s="8"/>
      <c r="L68" s="8" t="s">
        <v>4</v>
      </c>
      <c r="M68" s="8">
        <f>-I68/(2*J68)*1000</f>
        <v>1.5172596098314741</v>
      </c>
      <c r="N68" s="8"/>
      <c r="O68" s="18"/>
    </row>
    <row r="69" spans="1:15" x14ac:dyDescent="0.25">
      <c r="A69" s="33"/>
      <c r="B69" s="8"/>
      <c r="C69" s="8"/>
      <c r="D69" s="8"/>
      <c r="E69" s="8"/>
      <c r="F69" s="8"/>
      <c r="G69" s="8"/>
      <c r="H69" s="9"/>
      <c r="I69" s="9"/>
      <c r="J69" s="9"/>
      <c r="K69" s="8"/>
      <c r="L69" s="8"/>
      <c r="M69" s="8"/>
      <c r="N69" s="8"/>
      <c r="O69" s="18"/>
    </row>
    <row r="70" spans="1:15" x14ac:dyDescent="0.25">
      <c r="A70" s="33"/>
      <c r="B70" s="1" t="s">
        <v>6</v>
      </c>
      <c r="C70" s="1" t="s">
        <v>11</v>
      </c>
      <c r="D70" s="1" t="s">
        <v>7</v>
      </c>
      <c r="E70" s="1" t="s">
        <v>8</v>
      </c>
      <c r="F70" s="1" t="s">
        <v>10</v>
      </c>
      <c r="G70" s="1" t="s">
        <v>9</v>
      </c>
      <c r="H70" s="4" t="s">
        <v>1</v>
      </c>
      <c r="I70" s="4" t="s">
        <v>2</v>
      </c>
      <c r="J70" s="4" t="s">
        <v>3</v>
      </c>
      <c r="K70" s="8"/>
      <c r="L70" s="8"/>
      <c r="M70" s="8"/>
      <c r="N70" s="8"/>
      <c r="O70" s="18">
        <f>AVERAGE(M68,M75,M82,M89)</f>
        <v>0.4728872736413115</v>
      </c>
    </row>
    <row r="71" spans="1:15" x14ac:dyDescent="0.25">
      <c r="A71" s="33"/>
      <c r="B71" s="1" t="s">
        <v>23</v>
      </c>
      <c r="C71" s="1">
        <v>25</v>
      </c>
      <c r="D71" s="1">
        <f>12+M45</f>
        <v>11.121978505457919</v>
      </c>
      <c r="E71" s="1">
        <f>D71/1000</f>
        <v>1.112197850545792E-2</v>
      </c>
      <c r="F71" s="1">
        <v>355</v>
      </c>
      <c r="G71" s="1">
        <f>F71/1000</f>
        <v>0.35499999999999998</v>
      </c>
      <c r="H71" s="4">
        <f>8.21*10^-4*(G71*0.905)^-4.76*ABS(E71)^1.76*E71/ABS(E71)</f>
        <v>6.6510370951549451E-5</v>
      </c>
      <c r="I71" s="4">
        <f>H71*C71</f>
        <v>1.6627592737887362E-3</v>
      </c>
      <c r="J71" s="4">
        <f>I71/E71</f>
        <v>0.14950211178458633</v>
      </c>
      <c r="K71" s="8"/>
      <c r="L71" s="8"/>
      <c r="M71" s="8"/>
      <c r="N71" s="8"/>
      <c r="O71" s="18"/>
    </row>
    <row r="72" spans="1:15" x14ac:dyDescent="0.25">
      <c r="A72" s="33"/>
      <c r="B72" s="6" t="s">
        <v>24</v>
      </c>
      <c r="C72" s="6">
        <v>80</v>
      </c>
      <c r="D72" s="6">
        <f>4.808+M45</f>
        <v>3.9299785054579202</v>
      </c>
      <c r="E72" s="6">
        <f t="shared" ref="E72:E75" si="19">D72/1000</f>
        <v>3.9299785054579201E-3</v>
      </c>
      <c r="F72" s="6">
        <v>225</v>
      </c>
      <c r="G72" s="6">
        <f t="shared" ref="G72:G75" si="20">F72/1000</f>
        <v>0.22500000000000001</v>
      </c>
      <c r="H72" s="7">
        <f>8.21*10^-4*(G72*0.905)^-4.76*ABS(E72)^1.76*E72/ABS(E72)</f>
        <v>9.3418704857006901E-5</v>
      </c>
      <c r="I72" s="7">
        <f>H72*C72</f>
        <v>7.4734963885605523E-3</v>
      </c>
      <c r="J72" s="7">
        <f>I72/E72</f>
        <v>1.9016634259402247</v>
      </c>
      <c r="K72" s="8"/>
      <c r="L72" s="8"/>
      <c r="M72" s="8"/>
      <c r="N72" s="8"/>
      <c r="O72" s="18"/>
    </row>
    <row r="73" spans="1:15" x14ac:dyDescent="0.25">
      <c r="A73" s="33"/>
      <c r="B73" s="1" t="s">
        <v>25</v>
      </c>
      <c r="C73" s="1">
        <v>25</v>
      </c>
      <c r="D73" s="1">
        <f>-2.329+M45</f>
        <v>-3.2070214945420799</v>
      </c>
      <c r="E73" s="1">
        <f t="shared" si="19"/>
        <v>-3.20702149454208E-3</v>
      </c>
      <c r="F73" s="1">
        <v>160</v>
      </c>
      <c r="G73" s="1">
        <f t="shared" si="20"/>
        <v>0.16</v>
      </c>
      <c r="H73" s="4">
        <f>8.21*10^-4*(G73*0.905)^-4.76*ABS(E73)^1.76*E73/ABS(E73)</f>
        <v>-3.3099702864550614E-4</v>
      </c>
      <c r="I73" s="4">
        <f>H73*C73</f>
        <v>-8.2749257161376533E-3</v>
      </c>
      <c r="J73" s="4">
        <f>I73/E73</f>
        <v>2.5802526519452602</v>
      </c>
      <c r="K73" s="8"/>
      <c r="L73" s="8"/>
      <c r="M73" s="8"/>
      <c r="N73" s="8"/>
      <c r="O73" s="18"/>
    </row>
    <row r="74" spans="1:15" x14ac:dyDescent="0.25">
      <c r="A74" s="33"/>
      <c r="B74" s="2" t="s">
        <v>26</v>
      </c>
      <c r="C74" s="2">
        <v>55</v>
      </c>
      <c r="D74" s="2">
        <f>-9.014+M45-M38</f>
        <v>-10.697959040884408</v>
      </c>
      <c r="E74" s="2">
        <f t="shared" si="19"/>
        <v>-1.0697959040884409E-2</v>
      </c>
      <c r="F74" s="2">
        <v>315</v>
      </c>
      <c r="G74" s="2">
        <f t="shared" si="20"/>
        <v>0.315</v>
      </c>
      <c r="H74" s="5">
        <f>8.21*10^-4*(G74*0.905)^-4.76*ABS(E74)^1.76*E74/ABS(E74)</f>
        <v>-1.0972543777696541E-4</v>
      </c>
      <c r="I74" s="5">
        <f>H74*C74</f>
        <v>-6.0348990777330976E-3</v>
      </c>
      <c r="J74" s="5">
        <f>I74/E74</f>
        <v>0.5641168614190345</v>
      </c>
      <c r="K74" s="8"/>
      <c r="L74" s="8"/>
      <c r="M74" s="8"/>
      <c r="N74" s="8"/>
      <c r="O74" s="18"/>
    </row>
    <row r="75" spans="1:15" x14ac:dyDescent="0.25">
      <c r="A75" s="33"/>
      <c r="B75" s="24" t="s">
        <v>27</v>
      </c>
      <c r="C75" s="25">
        <v>25</v>
      </c>
      <c r="D75" s="13">
        <f>-12.515+M45-M38</f>
        <v>-14.198959040884409</v>
      </c>
      <c r="E75" s="13">
        <f t="shared" si="19"/>
        <v>-1.4198959040884409E-2</v>
      </c>
      <c r="F75" s="25">
        <v>400</v>
      </c>
      <c r="G75" s="25">
        <f t="shared" si="20"/>
        <v>0.4</v>
      </c>
      <c r="H75" s="26">
        <f>8.21*10^-4*(G75*0.905)^-4.76*ABS(E75)^1.76*E75/ABS(E75)</f>
        <v>-5.7924435841306293E-5</v>
      </c>
      <c r="I75" s="5">
        <f>SUM(I71:I74)</f>
        <v>-5.1735691315214615E-3</v>
      </c>
      <c r="J75" s="5">
        <f>SUM(J71:J74)</f>
        <v>5.1955350510891058</v>
      </c>
      <c r="K75" s="8"/>
      <c r="L75" s="8" t="s">
        <v>5</v>
      </c>
      <c r="M75" s="8">
        <f>-I75/(2*J75)*1000</f>
        <v>0.49788607724212741</v>
      </c>
      <c r="N75" s="8"/>
      <c r="O75" s="18"/>
    </row>
    <row r="76" spans="1:15" x14ac:dyDescent="0.25">
      <c r="A76" s="33"/>
      <c r="B76" s="8"/>
      <c r="C76" s="8"/>
      <c r="D76" s="8"/>
      <c r="E76" s="8"/>
      <c r="F76" s="8"/>
      <c r="G76" s="8"/>
      <c r="H76" s="9"/>
      <c r="I76" s="9"/>
      <c r="J76" s="9"/>
      <c r="K76" s="8"/>
      <c r="L76" s="8"/>
      <c r="M76" s="8"/>
      <c r="N76" s="8"/>
      <c r="O76" s="18"/>
    </row>
    <row r="77" spans="1:15" x14ac:dyDescent="0.25">
      <c r="A77" s="33"/>
      <c r="B77" s="1" t="s">
        <v>36</v>
      </c>
      <c r="C77" s="1" t="s">
        <v>11</v>
      </c>
      <c r="D77" s="1" t="s">
        <v>7</v>
      </c>
      <c r="E77" s="1" t="s">
        <v>8</v>
      </c>
      <c r="F77" s="1" t="s">
        <v>10</v>
      </c>
      <c r="G77" s="1" t="s">
        <v>9</v>
      </c>
      <c r="H77" s="4" t="s">
        <v>1</v>
      </c>
      <c r="I77" s="4" t="s">
        <v>2</v>
      </c>
      <c r="J77" s="4" t="s">
        <v>3</v>
      </c>
      <c r="K77" s="8"/>
      <c r="L77" s="8"/>
      <c r="M77" s="8"/>
      <c r="N77" s="8"/>
      <c r="O77" s="18"/>
    </row>
    <row r="78" spans="1:15" x14ac:dyDescent="0.25">
      <c r="A78" s="33"/>
      <c r="B78" s="11" t="s">
        <v>28</v>
      </c>
      <c r="C78" s="11">
        <v>40</v>
      </c>
      <c r="D78" s="11">
        <f>4.719+M53-M38</f>
        <v>3.963088353534447</v>
      </c>
      <c r="E78" s="11">
        <f>D78/1000</f>
        <v>3.9630883535344474E-3</v>
      </c>
      <c r="F78" s="11">
        <v>225</v>
      </c>
      <c r="G78" s="11">
        <f>F78/1000</f>
        <v>0.22500000000000001</v>
      </c>
      <c r="H78" s="27">
        <f>8.21*10^-4*(G78*0.905)^-4.76*ABS(E78)^1.76*E78/ABS(E78)</f>
        <v>9.480833989142004E-5</v>
      </c>
      <c r="I78" s="27">
        <f>H78*C78</f>
        <v>3.7923335956568018E-3</v>
      </c>
      <c r="J78" s="27">
        <f>I78/E78</f>
        <v>0.95691371409235437</v>
      </c>
      <c r="K78" s="8"/>
      <c r="L78" s="8"/>
      <c r="M78" s="8"/>
      <c r="N78" s="8"/>
      <c r="O78" s="18"/>
    </row>
    <row r="79" spans="1:15" x14ac:dyDescent="0.25">
      <c r="A79" s="33"/>
      <c r="B79" s="11" t="s">
        <v>29</v>
      </c>
      <c r="C79" s="11">
        <v>55</v>
      </c>
      <c r="D79" s="13">
        <f>9.014+M53-M38</f>
        <v>8.2580883535344469</v>
      </c>
      <c r="E79" s="2">
        <f t="shared" ref="E79:E81" si="21">D79/1000</f>
        <v>8.2580883535344467E-3</v>
      </c>
      <c r="F79" s="2">
        <v>315</v>
      </c>
      <c r="G79" s="2">
        <f t="shared" ref="G79:G81" si="22">F79/1000</f>
        <v>0.315</v>
      </c>
      <c r="H79" s="5">
        <f>8.21*10^-4*(G79*0.905)^-4.76*ABS(E79)^1.76*E79/ABS(E79)</f>
        <v>6.9573787794903469E-5</v>
      </c>
      <c r="I79" s="5">
        <f>H79*C79</f>
        <v>3.8265583287196907E-3</v>
      </c>
      <c r="J79" s="5">
        <f>I79/E79</f>
        <v>0.46337096006994533</v>
      </c>
      <c r="K79" s="8"/>
      <c r="L79" s="8"/>
      <c r="M79" s="8"/>
      <c r="N79" s="8"/>
      <c r="O79" s="18"/>
    </row>
    <row r="80" spans="1:15" x14ac:dyDescent="0.25">
      <c r="A80" s="33"/>
      <c r="B80" s="1" t="s">
        <v>30</v>
      </c>
      <c r="C80" s="1">
        <v>40</v>
      </c>
      <c r="D80" s="1">
        <f>-1.535+M53</f>
        <v>-1.4849741001232246</v>
      </c>
      <c r="E80" s="1">
        <f t="shared" si="21"/>
        <v>-1.4849741001232246E-3</v>
      </c>
      <c r="F80" s="1">
        <v>140</v>
      </c>
      <c r="G80" s="1">
        <f t="shared" si="22"/>
        <v>0.14000000000000001</v>
      </c>
      <c r="H80" s="4">
        <f>8.21*10^-4*(G80*0.905)^-4.76*ABS(E80)^1.76*E80/ABS(E80)</f>
        <v>-1.6119504856006349E-4</v>
      </c>
      <c r="I80" s="4">
        <f>H80*C80</f>
        <v>-6.4478019424025392E-3</v>
      </c>
      <c r="J80" s="4">
        <f>I80/E80</f>
        <v>4.3420298992874651</v>
      </c>
      <c r="K80" s="8"/>
      <c r="L80" s="8"/>
      <c r="M80" s="8"/>
      <c r="N80" s="8"/>
      <c r="O80" s="18"/>
    </row>
    <row r="81" spans="1:15" x14ac:dyDescent="0.25">
      <c r="A81" s="33"/>
      <c r="B81" s="11" t="s">
        <v>31</v>
      </c>
      <c r="C81" s="11">
        <v>55</v>
      </c>
      <c r="D81" s="11">
        <f>-4.719+M53-M38</f>
        <v>-5.4749116464655536</v>
      </c>
      <c r="E81" s="11">
        <f t="shared" si="21"/>
        <v>-5.4749116464655537E-3</v>
      </c>
      <c r="F81" s="11">
        <v>225</v>
      </c>
      <c r="G81" s="11">
        <f t="shared" si="22"/>
        <v>0.22500000000000001</v>
      </c>
      <c r="H81" s="27">
        <f>8.21*10^-4*(G81*0.905)^-4.76*ABS(E81)^1.76*E81/ABS(E81)</f>
        <v>-1.6743677722737827E-4</v>
      </c>
      <c r="I81" s="27">
        <f>H81*C81</f>
        <v>-9.2090227475058045E-3</v>
      </c>
      <c r="J81" s="27">
        <f>I81/E81</f>
        <v>1.6820404313649311</v>
      </c>
      <c r="K81" s="8"/>
      <c r="L81" s="8"/>
      <c r="M81" s="8"/>
      <c r="N81" s="8"/>
      <c r="O81" s="18"/>
    </row>
    <row r="82" spans="1:15" x14ac:dyDescent="0.25">
      <c r="A82" s="33"/>
      <c r="B82" s="8"/>
      <c r="C82" s="8"/>
      <c r="D82" s="8"/>
      <c r="E82" s="8"/>
      <c r="F82" s="8"/>
      <c r="G82" s="8"/>
      <c r="H82" s="9"/>
      <c r="I82" s="4">
        <f>SUM(I78:I81)</f>
        <v>-8.0379327655318508E-3</v>
      </c>
      <c r="J82" s="4">
        <f>SUM(J78:J81)</f>
        <v>7.444355004814696</v>
      </c>
      <c r="K82" s="8"/>
      <c r="L82" s="8" t="s">
        <v>4</v>
      </c>
      <c r="M82" s="8">
        <f>-I82/(2*J82)*1000</f>
        <v>0.5398676420142009</v>
      </c>
      <c r="N82" s="8"/>
      <c r="O82" s="18"/>
    </row>
    <row r="83" spans="1:15" x14ac:dyDescent="0.25">
      <c r="A83" s="33"/>
      <c r="B83" s="8"/>
      <c r="C83" s="8"/>
      <c r="D83" s="8"/>
      <c r="E83" s="8"/>
      <c r="F83" s="8"/>
      <c r="G83" s="8"/>
      <c r="H83" s="9"/>
      <c r="I83" s="9"/>
      <c r="J83" s="9"/>
      <c r="K83" s="8"/>
      <c r="L83" s="8"/>
      <c r="M83" s="8"/>
      <c r="N83" s="8"/>
      <c r="O83" s="18"/>
    </row>
    <row r="84" spans="1:15" x14ac:dyDescent="0.25">
      <c r="A84" s="33"/>
      <c r="B84" s="1" t="s">
        <v>37</v>
      </c>
      <c r="C84" s="1" t="s">
        <v>11</v>
      </c>
      <c r="D84" s="1" t="s">
        <v>7</v>
      </c>
      <c r="E84" s="1" t="s">
        <v>8</v>
      </c>
      <c r="F84" s="1" t="s">
        <v>10</v>
      </c>
      <c r="G84" s="1" t="s">
        <v>9</v>
      </c>
      <c r="H84" s="4" t="s">
        <v>1</v>
      </c>
      <c r="I84" s="4" t="s">
        <v>2</v>
      </c>
      <c r="J84" s="4" t="s">
        <v>3</v>
      </c>
      <c r="K84" s="8"/>
      <c r="L84" s="8"/>
      <c r="M84" s="8"/>
      <c r="N84" s="8"/>
      <c r="O84" s="18"/>
    </row>
    <row r="85" spans="1:15" x14ac:dyDescent="0.25">
      <c r="A85" s="33"/>
      <c r="B85" s="23" t="s">
        <v>32</v>
      </c>
      <c r="C85" s="2">
        <v>30</v>
      </c>
      <c r="D85" s="2">
        <f>18+M60-M38</f>
        <v>17.212306705078362</v>
      </c>
      <c r="E85" s="2">
        <f>D85/1000</f>
        <v>1.721230670507836E-2</v>
      </c>
      <c r="F85" s="2">
        <v>50</v>
      </c>
      <c r="G85" s="2">
        <f>F85/1000</f>
        <v>0.05</v>
      </c>
      <c r="H85" s="5">
        <f>8.21*10^-4*(G85*0.905)^-4.76*ABS(E85)^1.76*E85/ABS(E85)</f>
        <v>1.6168713791026943</v>
      </c>
      <c r="I85" s="5">
        <f>H85*C85</f>
        <v>48.50614137308083</v>
      </c>
      <c r="J85" s="5">
        <f>I85/E85</f>
        <v>2818.1081248551923</v>
      </c>
      <c r="K85" s="8"/>
      <c r="L85" s="8"/>
      <c r="M85" s="8"/>
      <c r="N85" s="8"/>
      <c r="O85" s="18"/>
    </row>
    <row r="86" spans="1:15" x14ac:dyDescent="0.25">
      <c r="A86" s="33"/>
      <c r="B86" s="23" t="s">
        <v>33</v>
      </c>
      <c r="C86" s="2">
        <v>55</v>
      </c>
      <c r="D86" s="2">
        <f>4.719+M60-M38</f>
        <v>3.9313067050783621</v>
      </c>
      <c r="E86" s="2">
        <f t="shared" ref="E86" si="23">D86/1000</f>
        <v>3.9313067050783619E-3</v>
      </c>
      <c r="F86" s="2">
        <v>50</v>
      </c>
      <c r="G86" s="2">
        <f t="shared" ref="G86:G88" si="24">F86/1000</f>
        <v>0.05</v>
      </c>
      <c r="H86" s="5">
        <f>8.21*10^-4*(G86*0.905)^-4.76*ABS(E86)^1.76*E86/ABS(E86)</f>
        <v>0.12022192873802476</v>
      </c>
      <c r="I86" s="5">
        <f>H86*C86</f>
        <v>6.6122060805913616</v>
      </c>
      <c r="J86" s="5">
        <f>I86/E86</f>
        <v>1681.935950723428</v>
      </c>
      <c r="K86" s="8"/>
      <c r="L86" s="8"/>
      <c r="M86" s="8"/>
      <c r="N86" s="8"/>
      <c r="O86" s="18"/>
    </row>
    <row r="87" spans="1:15" x14ac:dyDescent="0.25">
      <c r="A87" s="33"/>
      <c r="B87" s="1" t="s">
        <v>34</v>
      </c>
      <c r="C87" s="1">
        <v>30</v>
      </c>
      <c r="D87" s="1">
        <f>-5.378+M60</f>
        <v>-5.3597557485793095</v>
      </c>
      <c r="E87" s="1">
        <f>D87/1000</f>
        <v>-5.3597557485793096E-3</v>
      </c>
      <c r="F87" s="1">
        <v>63</v>
      </c>
      <c r="G87" s="1">
        <f t="shared" si="24"/>
        <v>6.3E-2</v>
      </c>
      <c r="H87" s="4">
        <f>8.21*10^-4*(G87*0.905)^-4.76*ABS(E87)^1.76*E87/ABS(E87)</f>
        <v>-6.904466113888931E-2</v>
      </c>
      <c r="I87" s="4">
        <f>H87*C87</f>
        <v>-2.0713398341666793</v>
      </c>
      <c r="J87" s="4">
        <f>I87/E87</f>
        <v>386.46160969475551</v>
      </c>
      <c r="K87" s="8"/>
      <c r="L87" s="8"/>
      <c r="M87" s="8"/>
      <c r="N87" s="8"/>
      <c r="O87" s="18"/>
    </row>
    <row r="88" spans="1:15" x14ac:dyDescent="0.25">
      <c r="A88" s="33"/>
      <c r="B88" s="6" t="s">
        <v>35</v>
      </c>
      <c r="C88" s="6">
        <v>55</v>
      </c>
      <c r="D88" s="15">
        <f>-11.2+M60</f>
        <v>-11.181755748579308</v>
      </c>
      <c r="E88" s="6">
        <f t="shared" ref="E88" si="25">D88/1000</f>
        <v>-1.1181755748579308E-2</v>
      </c>
      <c r="F88" s="6">
        <v>50</v>
      </c>
      <c r="G88" s="6">
        <f t="shared" si="24"/>
        <v>0.05</v>
      </c>
      <c r="H88" s="7">
        <f>8.21*10^-4*(G88*0.905)^-4.76*ABS(E88)^1.76*E88/ABS(E88)</f>
        <v>-0.75679159820212005</v>
      </c>
      <c r="I88" s="7">
        <f>H88*C88</f>
        <v>-41.623537901116606</v>
      </c>
      <c r="J88" s="7">
        <f>I88/E88</f>
        <v>3722.4510029567641</v>
      </c>
      <c r="K88" s="8"/>
      <c r="L88" s="8"/>
      <c r="M88" s="8"/>
      <c r="N88" s="8"/>
      <c r="O88" s="18"/>
    </row>
    <row r="89" spans="1:15" x14ac:dyDescent="0.25">
      <c r="A89" s="33"/>
      <c r="B89" s="8"/>
      <c r="C89" s="8"/>
      <c r="D89" s="8"/>
      <c r="E89" s="8"/>
      <c r="F89" s="8"/>
      <c r="G89" s="8"/>
      <c r="H89" s="9"/>
      <c r="I89" s="4">
        <f>SUM(I85:I88)</f>
        <v>11.423469718388908</v>
      </c>
      <c r="J89" s="4">
        <f>SUM(J85:J88)</f>
        <v>8608.9566882301406</v>
      </c>
      <c r="K89" s="8"/>
      <c r="L89" s="8" t="s">
        <v>5</v>
      </c>
      <c r="M89" s="8">
        <f>-I89/(2*J89)*1000</f>
        <v>-0.66346423452255654</v>
      </c>
      <c r="N89" s="8"/>
      <c r="O89" s="18"/>
    </row>
    <row r="90" spans="1:15" x14ac:dyDescent="0.25">
      <c r="A90" s="34"/>
      <c r="B90" s="20"/>
      <c r="C90" s="20"/>
      <c r="D90" s="20"/>
      <c r="E90" s="20"/>
      <c r="F90" s="20"/>
      <c r="G90" s="20"/>
      <c r="H90" s="21"/>
      <c r="I90" s="21"/>
      <c r="J90" s="21"/>
      <c r="K90" s="20"/>
      <c r="L90" s="20"/>
      <c r="M90" s="20"/>
      <c r="N90" s="20"/>
      <c r="O90" s="22"/>
    </row>
    <row r="91" spans="1:15" ht="15" customHeight="1" x14ac:dyDescent="0.25">
      <c r="A91" s="32" t="s">
        <v>15</v>
      </c>
      <c r="B91" s="1" t="s">
        <v>0</v>
      </c>
      <c r="C91" s="1" t="s">
        <v>11</v>
      </c>
      <c r="D91" s="1" t="s">
        <v>7</v>
      </c>
      <c r="E91" s="1" t="s">
        <v>8</v>
      </c>
      <c r="F91" s="1" t="s">
        <v>10</v>
      </c>
      <c r="G91" s="1" t="s">
        <v>9</v>
      </c>
      <c r="H91" s="4" t="s">
        <v>1</v>
      </c>
      <c r="I91" s="4" t="s">
        <v>2</v>
      </c>
      <c r="J91" s="4" t="s">
        <v>3</v>
      </c>
      <c r="K91" s="16"/>
      <c r="L91" s="16"/>
      <c r="M91" s="16"/>
      <c r="N91" s="16"/>
      <c r="O91" s="17"/>
    </row>
    <row r="92" spans="1:15" x14ac:dyDescent="0.25">
      <c r="A92" s="33"/>
      <c r="B92" s="1" t="s">
        <v>16</v>
      </c>
      <c r="C92" s="1">
        <v>70</v>
      </c>
      <c r="D92" s="1">
        <f>32.735+M75</f>
        <v>33.232886077242128</v>
      </c>
      <c r="E92" s="1">
        <f>D92/1000</f>
        <v>3.3232886077242126E-2</v>
      </c>
      <c r="F92" s="1">
        <v>200</v>
      </c>
      <c r="G92" s="1">
        <f>F92/1000</f>
        <v>0.2</v>
      </c>
      <c r="H92" s="4">
        <f>8.21*10^-4*(G92*0.905)^-4.76*ABS(E92)^1.76*E92/ABS(E92)</f>
        <v>7.0105634486787088E-3</v>
      </c>
      <c r="I92" s="4">
        <f>H92*C92</f>
        <v>0.49073944140750964</v>
      </c>
      <c r="J92" s="4">
        <f>I92/E92</f>
        <v>14.76668142113507</v>
      </c>
      <c r="K92" s="8"/>
      <c r="L92" s="8"/>
      <c r="M92" s="8"/>
      <c r="N92" s="8"/>
      <c r="O92" s="18"/>
    </row>
    <row r="93" spans="1:15" x14ac:dyDescent="0.25">
      <c r="A93" s="33"/>
      <c r="B93" s="2" t="s">
        <v>17</v>
      </c>
      <c r="C93" s="2">
        <v>25</v>
      </c>
      <c r="D93" s="2">
        <f>12.515+M68-M75</f>
        <v>13.534373532589347</v>
      </c>
      <c r="E93" s="2">
        <f>D93/1000</f>
        <v>1.3534373532589346E-2</v>
      </c>
      <c r="F93" s="2">
        <v>125</v>
      </c>
      <c r="G93" s="2">
        <f t="shared" ref="G93:G96" si="26">F93/1000</f>
        <v>0.125</v>
      </c>
      <c r="H93" s="5">
        <f>8.21*10^-4*(G93*0.905)^-4.76*ABS(E93)^1.76*E93/ABS(E93)</f>
        <v>1.3512490973051119E-2</v>
      </c>
      <c r="I93" s="5">
        <f>H93*C93</f>
        <v>0.33781227432627797</v>
      </c>
      <c r="J93" s="5">
        <f>I93/E93</f>
        <v>24.959579659365954</v>
      </c>
      <c r="K93" s="8"/>
      <c r="L93" s="8"/>
      <c r="M93" s="8"/>
      <c r="N93" s="8"/>
      <c r="O93" s="18"/>
    </row>
    <row r="94" spans="1:15" x14ac:dyDescent="0.25">
      <c r="A94" s="33"/>
      <c r="B94" s="2" t="s">
        <v>18</v>
      </c>
      <c r="C94" s="2">
        <v>40</v>
      </c>
      <c r="D94" s="2">
        <f>D65+M68-M75</f>
        <v>-2.0156674265262451</v>
      </c>
      <c r="E94" s="2">
        <f t="shared" ref="E94:E96" si="27">D94/1000</f>
        <v>-2.0156674265262449E-3</v>
      </c>
      <c r="F94" s="2">
        <v>75</v>
      </c>
      <c r="G94" s="2">
        <f t="shared" si="26"/>
        <v>7.4999999999999997E-2</v>
      </c>
      <c r="H94" s="5">
        <f>8.21*10^-D404*(G94*0.905)^-4.76*ABS(E94)^1.76*E94/ABS(E94)</f>
        <v>-53.849482117040608</v>
      </c>
      <c r="I94" s="5">
        <f>H94*C94</f>
        <v>-2153.9792846816244</v>
      </c>
      <c r="J94" s="5">
        <f>I94/E94</f>
        <v>1068618.3922680852</v>
      </c>
      <c r="K94" s="14"/>
      <c r="L94" s="14"/>
      <c r="M94" s="14"/>
      <c r="N94" s="14"/>
      <c r="O94" s="19"/>
    </row>
    <row r="95" spans="1:15" x14ac:dyDescent="0.25">
      <c r="A95" s="33"/>
      <c r="B95" s="2" t="s">
        <v>19</v>
      </c>
      <c r="C95" s="2">
        <v>30</v>
      </c>
      <c r="D95" s="2">
        <f>-18+M68-M75</f>
        <v>-16.980626467410655</v>
      </c>
      <c r="E95" s="2">
        <f t="shared" si="27"/>
        <v>-1.6980626467410654E-2</v>
      </c>
      <c r="F95" s="2">
        <v>140</v>
      </c>
      <c r="G95" s="2">
        <f t="shared" si="26"/>
        <v>0.14000000000000001</v>
      </c>
      <c r="H95" s="5"/>
      <c r="I95" s="5">
        <f>H95*C95</f>
        <v>0</v>
      </c>
      <c r="J95" s="5">
        <f>I95/E95</f>
        <v>0</v>
      </c>
      <c r="K95" s="14"/>
      <c r="L95" s="14"/>
      <c r="M95" s="14"/>
      <c r="N95" s="14"/>
      <c r="O95" s="19"/>
    </row>
    <row r="96" spans="1:15" x14ac:dyDescent="0.25">
      <c r="A96" s="33"/>
      <c r="B96" s="6" t="s">
        <v>20</v>
      </c>
      <c r="C96" s="6">
        <v>25</v>
      </c>
      <c r="D96" s="15">
        <f>-36.735+M68</f>
        <v>-35.217740390168522</v>
      </c>
      <c r="E96" s="15">
        <f t="shared" si="27"/>
        <v>-3.521774039016852E-2</v>
      </c>
      <c r="F96" s="1">
        <v>200</v>
      </c>
      <c r="G96" s="1">
        <f t="shared" si="26"/>
        <v>0.2</v>
      </c>
      <c r="H96" s="4">
        <f>8.21*10^-4*(G96*0.905)^-4.76*ABS(E96)^1.76*E96/ABS(E96)</f>
        <v>-7.7641400228868288E-3</v>
      </c>
      <c r="I96" s="4">
        <f>H96*C96</f>
        <v>-0.19410350057217071</v>
      </c>
      <c r="J96" s="4">
        <f>I96/E96</f>
        <v>5.5115262484687166</v>
      </c>
      <c r="K96" s="8"/>
      <c r="L96" s="8"/>
      <c r="M96" s="8"/>
      <c r="N96" s="8"/>
      <c r="O96" s="18"/>
    </row>
    <row r="97" spans="1:15" x14ac:dyDescent="0.25">
      <c r="A97" s="33"/>
      <c r="B97" s="8"/>
      <c r="C97" s="8"/>
      <c r="D97" s="8"/>
      <c r="E97" s="8"/>
      <c r="F97" s="8"/>
      <c r="G97" s="8"/>
      <c r="H97" s="9"/>
      <c r="I97" s="4">
        <f>SUM(I92:I96)</f>
        <v>-2153.3448364664628</v>
      </c>
      <c r="J97" s="4">
        <f>SUM(J92:J96)</f>
        <v>1068663.630055414</v>
      </c>
      <c r="K97" s="8"/>
      <c r="L97" s="8" t="s">
        <v>4</v>
      </c>
      <c r="M97" s="8">
        <f>-I97/(2*J97)*1000</f>
        <v>1.0074942086102454</v>
      </c>
      <c r="N97" s="8"/>
      <c r="O97" s="18"/>
    </row>
    <row r="98" spans="1:15" x14ac:dyDescent="0.25">
      <c r="A98" s="33"/>
      <c r="B98" s="8"/>
      <c r="C98" s="8"/>
      <c r="D98" s="8"/>
      <c r="E98" s="8"/>
      <c r="F98" s="8"/>
      <c r="G98" s="8"/>
      <c r="H98" s="9"/>
      <c r="I98" s="9"/>
      <c r="J98" s="9"/>
      <c r="K98" s="8"/>
      <c r="L98" s="8"/>
      <c r="M98" s="8"/>
      <c r="N98" s="8"/>
      <c r="O98" s="18"/>
    </row>
    <row r="99" spans="1:15" x14ac:dyDescent="0.25">
      <c r="A99" s="33"/>
      <c r="B99" s="1" t="s">
        <v>6</v>
      </c>
      <c r="C99" s="1" t="s">
        <v>11</v>
      </c>
      <c r="D99" s="1" t="s">
        <v>7</v>
      </c>
      <c r="E99" s="1" t="s">
        <v>8</v>
      </c>
      <c r="F99" s="1" t="s">
        <v>10</v>
      </c>
      <c r="G99" s="1" t="s">
        <v>9</v>
      </c>
      <c r="H99" s="4" t="s">
        <v>1</v>
      </c>
      <c r="I99" s="4" t="s">
        <v>2</v>
      </c>
      <c r="J99" s="4" t="s">
        <v>3</v>
      </c>
      <c r="K99" s="8"/>
      <c r="L99" s="8"/>
      <c r="M99" s="8"/>
      <c r="N99" s="8"/>
      <c r="O99" s="18">
        <f>AVERAGE(M97,M104,M111,M118)</f>
        <v>0.26653217579543242</v>
      </c>
    </row>
    <row r="100" spans="1:15" x14ac:dyDescent="0.25">
      <c r="A100" s="33"/>
      <c r="B100" s="1" t="s">
        <v>23</v>
      </c>
      <c r="C100" s="1">
        <v>25</v>
      </c>
      <c r="D100" s="1">
        <f>12+M75</f>
        <v>12.497886077242127</v>
      </c>
      <c r="E100" s="1">
        <f>D100/1000</f>
        <v>1.2497886077242127E-2</v>
      </c>
      <c r="F100" s="1">
        <v>355</v>
      </c>
      <c r="G100" s="1">
        <f>F100/1000</f>
        <v>0.35499999999999998</v>
      </c>
      <c r="H100" s="4">
        <f>8.21*10^-4*(G100*0.905)^-4.76*ABS(E100)^1.76*E100/ABS(E100)</f>
        <v>8.1666004438468013E-5</v>
      </c>
      <c r="I100" s="4">
        <f>H100*C100</f>
        <v>2.0416501109617002E-3</v>
      </c>
      <c r="J100" s="4">
        <f>I100/E100</f>
        <v>0.16335963524898967</v>
      </c>
      <c r="K100" s="8"/>
      <c r="L100" s="8"/>
      <c r="M100" s="8"/>
      <c r="N100" s="8"/>
      <c r="O100" s="18"/>
    </row>
    <row r="101" spans="1:15" x14ac:dyDescent="0.25">
      <c r="A101" s="33"/>
      <c r="B101" s="6" t="s">
        <v>24</v>
      </c>
      <c r="C101" s="6">
        <v>80</v>
      </c>
      <c r="D101" s="6">
        <f>4.808+M75</f>
        <v>5.3058860772421275</v>
      </c>
      <c r="E101" s="6">
        <f t="shared" ref="E101:E104" si="28">D101/1000</f>
        <v>5.3058860772421277E-3</v>
      </c>
      <c r="F101" s="6">
        <v>225</v>
      </c>
      <c r="G101" s="6">
        <f t="shared" ref="G101:G104" si="29">F101/1000</f>
        <v>0.22500000000000001</v>
      </c>
      <c r="H101" s="7">
        <f>8.21*10^-4*(G101*0.905)^-4.76*ABS(E101)^1.76*E101/ABS(E101)</f>
        <v>1.5844592522407138E-4</v>
      </c>
      <c r="I101" s="7">
        <f>H101*C101</f>
        <v>1.2675674017925711E-2</v>
      </c>
      <c r="J101" s="7">
        <f>I101/E101</f>
        <v>2.3889834484562136</v>
      </c>
      <c r="K101" s="8"/>
      <c r="L101" s="8"/>
      <c r="M101" s="8"/>
      <c r="N101" s="8"/>
      <c r="O101" s="18"/>
    </row>
    <row r="102" spans="1:15" x14ac:dyDescent="0.25">
      <c r="A102" s="33"/>
      <c r="B102" s="1" t="s">
        <v>25</v>
      </c>
      <c r="C102" s="1">
        <v>25</v>
      </c>
      <c r="D102" s="1">
        <f>-2.329+M75</f>
        <v>-1.8311139227578728</v>
      </c>
      <c r="E102" s="1">
        <f t="shared" si="28"/>
        <v>-1.8311139227578728E-3</v>
      </c>
      <c r="F102" s="1">
        <v>160</v>
      </c>
      <c r="G102" s="1">
        <f t="shared" si="29"/>
        <v>0.16</v>
      </c>
      <c r="H102" s="4">
        <f>8.21*10^-4*(G102*0.905)^-4.76*ABS(E102)^1.76*E102/ABS(E102)</f>
        <v>-1.2344225443050659E-4</v>
      </c>
      <c r="I102" s="4">
        <f>H102*C102</f>
        <v>-3.0860563607626647E-3</v>
      </c>
      <c r="J102" s="4">
        <f>I102/E102</f>
        <v>1.6853437257004202</v>
      </c>
      <c r="K102" s="8"/>
      <c r="L102" s="8"/>
      <c r="M102" s="8"/>
      <c r="N102" s="8"/>
      <c r="O102" s="18"/>
    </row>
    <row r="103" spans="1:15" x14ac:dyDescent="0.25">
      <c r="A103" s="33"/>
      <c r="B103" s="2" t="s">
        <v>26</v>
      </c>
      <c r="C103" s="2">
        <v>55</v>
      </c>
      <c r="D103" s="2">
        <f>-9.014+M75-M68</f>
        <v>-10.033373532589346</v>
      </c>
      <c r="E103" s="2">
        <f t="shared" si="28"/>
        <v>-1.0033373532589346E-2</v>
      </c>
      <c r="F103" s="2">
        <v>315</v>
      </c>
      <c r="G103" s="2">
        <f t="shared" si="29"/>
        <v>0.315</v>
      </c>
      <c r="H103" s="5">
        <f>8.21*10^-4*(G103*0.905)^-4.76*ABS(E103)^1.76*E103/ABS(E103)</f>
        <v>-9.8013155289993224E-5</v>
      </c>
      <c r="I103" s="5">
        <f>H103*C103</f>
        <v>-5.3907235409496271E-3</v>
      </c>
      <c r="J103" s="5">
        <f>I103/E103</f>
        <v>0.53727926339431575</v>
      </c>
      <c r="K103" s="8"/>
      <c r="L103" s="8"/>
      <c r="M103" s="8"/>
      <c r="N103" s="8"/>
      <c r="O103" s="18"/>
    </row>
    <row r="104" spans="1:15" x14ac:dyDescent="0.25">
      <c r="A104" s="33"/>
      <c r="B104" s="24" t="s">
        <v>27</v>
      </c>
      <c r="C104" s="25">
        <v>25</v>
      </c>
      <c r="D104" s="13">
        <f>-12.515+M75-M68</f>
        <v>-13.534373532589347</v>
      </c>
      <c r="E104" s="13">
        <f t="shared" si="28"/>
        <v>-1.3534373532589346E-2</v>
      </c>
      <c r="F104" s="25">
        <v>400</v>
      </c>
      <c r="G104" s="25">
        <f t="shared" si="29"/>
        <v>0.4</v>
      </c>
      <c r="H104" s="26">
        <f>8.21*10^-4*(G104*0.905)^-4.76*ABS(E104)^1.76*E104/ABS(E104)</f>
        <v>-5.3237974027668199E-5</v>
      </c>
      <c r="I104" s="5">
        <f>SUM(I100:I103)</f>
        <v>6.2405442271751196E-3</v>
      </c>
      <c r="J104" s="5">
        <f>SUM(J100:J103)</f>
        <v>4.7749660727999395</v>
      </c>
      <c r="K104" s="8"/>
      <c r="L104" s="8" t="s">
        <v>5</v>
      </c>
      <c r="M104" s="8">
        <f>-I104/(2*J104)*1000</f>
        <v>-0.6534647714801245</v>
      </c>
      <c r="N104" s="8"/>
      <c r="O104" s="18"/>
    </row>
    <row r="105" spans="1:15" x14ac:dyDescent="0.25">
      <c r="A105" s="33"/>
      <c r="B105" s="8"/>
      <c r="C105" s="8"/>
      <c r="D105" s="8"/>
      <c r="E105" s="8"/>
      <c r="F105" s="8"/>
      <c r="G105" s="8"/>
      <c r="H105" s="9"/>
      <c r="I105" s="9"/>
      <c r="J105" s="9"/>
      <c r="K105" s="8"/>
      <c r="L105" s="8"/>
      <c r="M105" s="8"/>
      <c r="N105" s="8"/>
      <c r="O105" s="18"/>
    </row>
    <row r="106" spans="1:15" x14ac:dyDescent="0.25">
      <c r="A106" s="33"/>
      <c r="B106" s="1" t="s">
        <v>36</v>
      </c>
      <c r="C106" s="1" t="s">
        <v>11</v>
      </c>
      <c r="D106" s="1" t="s">
        <v>7</v>
      </c>
      <c r="E106" s="1" t="s">
        <v>8</v>
      </c>
      <c r="F106" s="1" t="s">
        <v>10</v>
      </c>
      <c r="G106" s="1" t="s">
        <v>9</v>
      </c>
      <c r="H106" s="4" t="s">
        <v>1</v>
      </c>
      <c r="I106" s="4" t="s">
        <v>2</v>
      </c>
      <c r="J106" s="4" t="s">
        <v>3</v>
      </c>
      <c r="K106" s="8"/>
      <c r="L106" s="8"/>
      <c r="M106" s="8"/>
      <c r="N106" s="8"/>
      <c r="O106" s="18"/>
    </row>
    <row r="107" spans="1:15" x14ac:dyDescent="0.25">
      <c r="A107" s="33"/>
      <c r="B107" s="11" t="s">
        <v>28</v>
      </c>
      <c r="C107" s="11">
        <v>40</v>
      </c>
      <c r="D107" s="11">
        <f>4.719+M82-M68</f>
        <v>3.741608032182727</v>
      </c>
      <c r="E107" s="11">
        <f>D107/1000</f>
        <v>3.741608032182727E-3</v>
      </c>
      <c r="F107" s="11">
        <v>225</v>
      </c>
      <c r="G107" s="11">
        <f>F107/1000</f>
        <v>0.22500000000000001</v>
      </c>
      <c r="H107" s="27">
        <f>8.21*10^-4*(G107*0.905)^-4.76*ABS(E107)^1.76*E107/ABS(E107)</f>
        <v>8.5682025174912052E-5</v>
      </c>
      <c r="I107" s="27">
        <f>H107*C107</f>
        <v>3.4272810069964823E-3</v>
      </c>
      <c r="J107" s="27">
        <f>I107/E107</f>
        <v>0.91599146076162419</v>
      </c>
      <c r="K107" s="8"/>
      <c r="L107" s="8"/>
      <c r="M107" s="8"/>
      <c r="N107" s="8"/>
      <c r="O107" s="18"/>
    </row>
    <row r="108" spans="1:15" x14ac:dyDescent="0.25">
      <c r="A108" s="33"/>
      <c r="B108" s="11" t="s">
        <v>29</v>
      </c>
      <c r="C108" s="11">
        <v>55</v>
      </c>
      <c r="D108" s="13">
        <f>9.014+M82-M68</f>
        <v>8.0366080321827269</v>
      </c>
      <c r="E108" s="2">
        <f t="shared" ref="E108:E110" si="30">D108/1000</f>
        <v>8.0366080321827276E-3</v>
      </c>
      <c r="F108" s="2">
        <v>315</v>
      </c>
      <c r="G108" s="2">
        <f t="shared" ref="G108:G110" si="31">F108/1000</f>
        <v>0.315</v>
      </c>
      <c r="H108" s="5">
        <f>8.21*10^-4*(G108*0.905)^-4.76*ABS(E108)^1.76*E108/ABS(E108)</f>
        <v>6.6323248441716264E-5</v>
      </c>
      <c r="I108" s="5">
        <f>H108*C108</f>
        <v>3.6477786642943946E-3</v>
      </c>
      <c r="J108" s="5">
        <f>I108/E108</f>
        <v>0.45389530628927099</v>
      </c>
      <c r="K108" s="8"/>
      <c r="L108" s="8"/>
      <c r="M108" s="8"/>
      <c r="N108" s="8"/>
      <c r="O108" s="18"/>
    </row>
    <row r="109" spans="1:15" x14ac:dyDescent="0.25">
      <c r="A109" s="33"/>
      <c r="B109" s="1" t="s">
        <v>30</v>
      </c>
      <c r="C109" s="1">
        <v>40</v>
      </c>
      <c r="D109" s="1">
        <f>-1.535+M82</f>
        <v>-0.99513235798579902</v>
      </c>
      <c r="E109" s="1">
        <f t="shared" si="30"/>
        <v>-9.9513235798579912E-4</v>
      </c>
      <c r="F109" s="1">
        <v>140</v>
      </c>
      <c r="G109" s="1">
        <f t="shared" si="31"/>
        <v>0.14000000000000001</v>
      </c>
      <c r="H109" s="4">
        <f>8.21*10^-4*(G109*0.905)^-4.76*ABS(E109)^1.76*E109/ABS(E109)</f>
        <v>-7.96887038360144E-5</v>
      </c>
      <c r="I109" s="4">
        <f>H109*C109</f>
        <v>-3.1875481534405759E-3</v>
      </c>
      <c r="J109" s="4">
        <f>I109/E109</f>
        <v>3.2031398917550455</v>
      </c>
      <c r="K109" s="8"/>
      <c r="L109" s="8"/>
      <c r="M109" s="8"/>
      <c r="N109" s="8"/>
      <c r="O109" s="18"/>
    </row>
    <row r="110" spans="1:15" x14ac:dyDescent="0.25">
      <c r="A110" s="33"/>
      <c r="B110" s="11" t="s">
        <v>31</v>
      </c>
      <c r="C110" s="11">
        <v>55</v>
      </c>
      <c r="D110" s="11">
        <f>-4.719+M82-M68</f>
        <v>-5.6963919678172736</v>
      </c>
      <c r="E110" s="11">
        <f t="shared" si="30"/>
        <v>-5.6963919678172737E-3</v>
      </c>
      <c r="F110" s="11">
        <v>225</v>
      </c>
      <c r="G110" s="11">
        <f t="shared" si="31"/>
        <v>0.22500000000000001</v>
      </c>
      <c r="H110" s="27">
        <f>8.21*10^-4*(G110*0.905)^-4.76*ABS(E110)^1.76*E110/ABS(E110)</f>
        <v>-1.7954069292483779E-4</v>
      </c>
      <c r="I110" s="27">
        <f>H110*C110</f>
        <v>-9.8747381108660794E-3</v>
      </c>
      <c r="J110" s="27">
        <f>I110/E110</f>
        <v>1.7335074845016067</v>
      </c>
      <c r="K110" s="8"/>
      <c r="L110" s="8"/>
      <c r="M110" s="8"/>
      <c r="N110" s="8"/>
      <c r="O110" s="18"/>
    </row>
    <row r="111" spans="1:15" x14ac:dyDescent="0.25">
      <c r="A111" s="33"/>
      <c r="B111" s="8"/>
      <c r="C111" s="8"/>
      <c r="D111" s="8"/>
      <c r="E111" s="8"/>
      <c r="F111" s="8"/>
      <c r="G111" s="8"/>
      <c r="H111" s="9"/>
      <c r="I111" s="4">
        <f>SUM(I107:I110)</f>
        <v>-5.9872265930157788E-3</v>
      </c>
      <c r="J111" s="4">
        <f>SUM(J107:J110)</f>
        <v>6.3065341433075481</v>
      </c>
      <c r="K111" s="8"/>
      <c r="L111" s="8" t="s">
        <v>4</v>
      </c>
      <c r="M111" s="8">
        <f>-I111/(2*J111)*1000</f>
        <v>0.4746843874118547</v>
      </c>
      <c r="N111" s="8"/>
      <c r="O111" s="18"/>
    </row>
    <row r="112" spans="1:15" x14ac:dyDescent="0.25">
      <c r="A112" s="33"/>
      <c r="B112" s="8"/>
      <c r="C112" s="8"/>
      <c r="D112" s="8"/>
      <c r="E112" s="8"/>
      <c r="F112" s="8"/>
      <c r="G112" s="8"/>
      <c r="H112" s="9"/>
      <c r="I112" s="9"/>
      <c r="J112" s="9"/>
      <c r="K112" s="8"/>
      <c r="L112" s="8"/>
      <c r="M112" s="8"/>
      <c r="N112" s="8"/>
      <c r="O112" s="18"/>
    </row>
    <row r="113" spans="1:15" x14ac:dyDescent="0.25">
      <c r="A113" s="33"/>
      <c r="B113" s="1" t="s">
        <v>37</v>
      </c>
      <c r="C113" s="1" t="s">
        <v>11</v>
      </c>
      <c r="D113" s="1" t="s">
        <v>7</v>
      </c>
      <c r="E113" s="1" t="s">
        <v>8</v>
      </c>
      <c r="F113" s="1" t="s">
        <v>10</v>
      </c>
      <c r="G113" s="1" t="s">
        <v>9</v>
      </c>
      <c r="H113" s="4" t="s">
        <v>1</v>
      </c>
      <c r="I113" s="4" t="s">
        <v>2</v>
      </c>
      <c r="J113" s="4" t="s">
        <v>3</v>
      </c>
      <c r="K113" s="8"/>
      <c r="L113" s="8"/>
      <c r="M113" s="8"/>
      <c r="N113" s="8"/>
      <c r="O113" s="18"/>
    </row>
    <row r="114" spans="1:15" x14ac:dyDescent="0.25">
      <c r="A114" s="33"/>
      <c r="B114" s="23" t="s">
        <v>32</v>
      </c>
      <c r="C114" s="2">
        <v>30</v>
      </c>
      <c r="D114" s="2">
        <f>18+M89-M68</f>
        <v>15.819276155645969</v>
      </c>
      <c r="E114" s="2">
        <f>D114/1000</f>
        <v>1.5819276155645969E-2</v>
      </c>
      <c r="F114" s="2">
        <v>50</v>
      </c>
      <c r="G114" s="2">
        <f>F114/1000</f>
        <v>0.05</v>
      </c>
      <c r="H114" s="5">
        <f>8.21*10^-4*(G114*0.905)^-4.76*ABS(E114)^1.76*E114/ABS(E114)</f>
        <v>1.3936930321355305</v>
      </c>
      <c r="I114" s="5">
        <f>H114*C114</f>
        <v>41.810790964065916</v>
      </c>
      <c r="J114" s="5">
        <f>I114/E114</f>
        <v>2643.0280723776013</v>
      </c>
      <c r="K114" s="8"/>
      <c r="L114" s="8"/>
      <c r="M114" s="8"/>
      <c r="N114" s="8"/>
      <c r="O114" s="18"/>
    </row>
    <row r="115" spans="1:15" x14ac:dyDescent="0.25">
      <c r="A115" s="33"/>
      <c r="B115" s="23" t="s">
        <v>33</v>
      </c>
      <c r="C115" s="2">
        <v>55</v>
      </c>
      <c r="D115" s="2">
        <f>4.719+M89-M68</f>
        <v>2.5382761556459696</v>
      </c>
      <c r="E115" s="2">
        <f t="shared" ref="E115" si="32">D115/1000</f>
        <v>2.5382761556459695E-3</v>
      </c>
      <c r="F115" s="2">
        <v>50</v>
      </c>
      <c r="G115" s="2">
        <f t="shared" ref="G115:G117" si="33">F115/1000</f>
        <v>0.05</v>
      </c>
      <c r="H115" s="5">
        <f>8.21*10^-4*(G115*0.905)^-4.76*ABS(E115)^1.76*E115/ABS(E115)</f>
        <v>5.5665627716094394E-2</v>
      </c>
      <c r="I115" s="5">
        <f>H115*C115</f>
        <v>3.0616095243851915</v>
      </c>
      <c r="J115" s="5">
        <f>I115/E115</f>
        <v>1206.1766871091447</v>
      </c>
      <c r="K115" s="8"/>
      <c r="L115" s="8"/>
      <c r="M115" s="8"/>
      <c r="N115" s="8"/>
      <c r="O115" s="18"/>
    </row>
    <row r="116" spans="1:15" x14ac:dyDescent="0.25">
      <c r="A116" s="33"/>
      <c r="B116" s="1" t="s">
        <v>34</v>
      </c>
      <c r="C116" s="1">
        <v>30</v>
      </c>
      <c r="D116" s="1">
        <f>-5.378+M89</f>
        <v>-6.0414642345225564</v>
      </c>
      <c r="E116" s="1">
        <f>D116/1000</f>
        <v>-6.0414642345225566E-3</v>
      </c>
      <c r="F116" s="1">
        <v>63</v>
      </c>
      <c r="G116" s="1">
        <f t="shared" si="33"/>
        <v>6.3E-2</v>
      </c>
      <c r="H116" s="4">
        <f>8.21*10^-4*(G116*0.905)^-4.76*ABS(E116)^1.76*E116/ABS(E116)</f>
        <v>-8.5240343704404753E-2</v>
      </c>
      <c r="I116" s="4">
        <f>H116*C116</f>
        <v>-2.5572103111321427</v>
      </c>
      <c r="J116" s="4">
        <f>I116/E116</f>
        <v>423.2765786346219</v>
      </c>
      <c r="K116" s="8"/>
      <c r="L116" s="8"/>
      <c r="M116" s="8"/>
      <c r="N116" s="8"/>
      <c r="O116" s="18"/>
    </row>
    <row r="117" spans="1:15" x14ac:dyDescent="0.25">
      <c r="A117" s="33"/>
      <c r="B117" s="6" t="s">
        <v>35</v>
      </c>
      <c r="C117" s="6">
        <v>55</v>
      </c>
      <c r="D117" s="15">
        <f>-11.2+M89</f>
        <v>-11.863464234522556</v>
      </c>
      <c r="E117" s="6">
        <f t="shared" ref="E117" si="34">D117/1000</f>
        <v>-1.1863464234522557E-2</v>
      </c>
      <c r="F117" s="6">
        <v>50</v>
      </c>
      <c r="G117" s="6">
        <f t="shared" si="33"/>
        <v>0.05</v>
      </c>
      <c r="H117" s="7">
        <f>8.21*10^-4*(G117*0.905)^-4.76*ABS(E117)^1.76*E117/ABS(E117)</f>
        <v>-0.83986790249083798</v>
      </c>
      <c r="I117" s="7">
        <f>H117*C117</f>
        <v>-46.192734636996086</v>
      </c>
      <c r="J117" s="7">
        <f>I117/E117</f>
        <v>3893.6969610087172</v>
      </c>
      <c r="K117" s="8"/>
      <c r="L117" s="8"/>
      <c r="M117" s="8"/>
      <c r="N117" s="8"/>
      <c r="O117" s="18"/>
    </row>
    <row r="118" spans="1:15" x14ac:dyDescent="0.25">
      <c r="A118" s="33"/>
      <c r="B118" s="8"/>
      <c r="C118" s="8"/>
      <c r="D118" s="8"/>
      <c r="E118" s="8"/>
      <c r="F118" s="8"/>
      <c r="G118" s="8"/>
      <c r="H118" s="9"/>
      <c r="I118" s="4">
        <f>SUM(I114:I117)</f>
        <v>-3.8775444596771251</v>
      </c>
      <c r="J118" s="4">
        <f>SUM(J114:J117)</f>
        <v>8166.1782991300852</v>
      </c>
      <c r="K118" s="8"/>
      <c r="L118" s="8" t="s">
        <v>5</v>
      </c>
      <c r="M118" s="8">
        <f>-I118/(2*J118)*1000</f>
        <v>0.23741487863975408</v>
      </c>
      <c r="N118" s="8"/>
      <c r="O118" s="18"/>
    </row>
    <row r="119" spans="1:15" x14ac:dyDescent="0.25">
      <c r="A119" s="34"/>
      <c r="B119" s="20"/>
      <c r="C119" s="20"/>
      <c r="D119" s="20"/>
      <c r="E119" s="20"/>
      <c r="F119" s="20"/>
      <c r="G119" s="20"/>
      <c r="H119" s="21"/>
      <c r="I119" s="21"/>
      <c r="J119" s="21"/>
      <c r="K119" s="20"/>
      <c r="L119" s="20"/>
      <c r="M119" s="20"/>
      <c r="N119" s="20"/>
      <c r="O119" s="22"/>
    </row>
  </sheetData>
  <mergeCells count="8">
    <mergeCell ref="A77:A90"/>
    <mergeCell ref="A91:A105"/>
    <mergeCell ref="A106:A119"/>
    <mergeCell ref="A2:A17"/>
    <mergeCell ref="A18:A31"/>
    <mergeCell ref="A32:A47"/>
    <mergeCell ref="A48:A61"/>
    <mergeCell ref="A62:A7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9"/>
  <sheetViews>
    <sheetView topLeftCell="A4" workbookViewId="0">
      <selection sqref="A1:E19"/>
    </sheetView>
  </sheetViews>
  <sheetFormatPr defaultRowHeight="15" x14ac:dyDescent="0.25"/>
  <cols>
    <col min="1" max="1" width="15.7109375" customWidth="1"/>
    <col min="3" max="3" width="9.140625" customWidth="1"/>
    <col min="4" max="4" width="13.42578125" customWidth="1"/>
  </cols>
  <sheetData>
    <row r="1" spans="1:5" x14ac:dyDescent="0.25">
      <c r="A1" s="28" t="s">
        <v>0</v>
      </c>
      <c r="B1" s="28" t="s">
        <v>11</v>
      </c>
      <c r="C1" s="28" t="s">
        <v>21</v>
      </c>
      <c r="D1" s="28" t="s">
        <v>22</v>
      </c>
      <c r="E1" s="29">
        <v>0.5</v>
      </c>
    </row>
    <row r="2" spans="1:5" s="12" customFormat="1" x14ac:dyDescent="0.25">
      <c r="A2" s="30" t="s">
        <v>16</v>
      </c>
      <c r="B2" s="30">
        <v>70</v>
      </c>
      <c r="C2" s="30">
        <v>0.13700000000000001</v>
      </c>
      <c r="D2" s="30">
        <f>B2*C2</f>
        <v>9.59</v>
      </c>
      <c r="E2" s="31">
        <f>D2/2</f>
        <v>4.7949999999999999</v>
      </c>
    </row>
    <row r="3" spans="1:5" s="12" customFormat="1" x14ac:dyDescent="0.25">
      <c r="A3" s="30" t="s">
        <v>17</v>
      </c>
      <c r="B3" s="30">
        <v>25</v>
      </c>
      <c r="C3" s="30">
        <v>0.13700000000000001</v>
      </c>
      <c r="D3" s="30">
        <f t="shared" ref="D3:D15" si="0">B3*C3</f>
        <v>3.4250000000000003</v>
      </c>
      <c r="E3" s="31">
        <f t="shared" ref="E3:E19" si="1">D3/2</f>
        <v>1.7125000000000001</v>
      </c>
    </row>
    <row r="4" spans="1:5" s="12" customFormat="1" x14ac:dyDescent="0.25">
      <c r="A4" s="30" t="s">
        <v>18</v>
      </c>
      <c r="B4" s="30">
        <v>40</v>
      </c>
      <c r="C4" s="30">
        <v>0.13700000000000001</v>
      </c>
      <c r="D4" s="30">
        <f t="shared" si="0"/>
        <v>5.48</v>
      </c>
      <c r="E4" s="31">
        <f t="shared" si="1"/>
        <v>2.74</v>
      </c>
    </row>
    <row r="5" spans="1:5" s="12" customFormat="1" x14ac:dyDescent="0.25">
      <c r="A5" s="30" t="s">
        <v>19</v>
      </c>
      <c r="B5" s="30">
        <v>30</v>
      </c>
      <c r="C5" s="30">
        <v>0.13700000000000001</v>
      </c>
      <c r="D5" s="30">
        <f t="shared" si="0"/>
        <v>4.1100000000000003</v>
      </c>
      <c r="E5" s="31">
        <f t="shared" si="1"/>
        <v>2.0550000000000002</v>
      </c>
    </row>
    <row r="6" spans="1:5" s="12" customFormat="1" x14ac:dyDescent="0.25">
      <c r="A6" s="30" t="s">
        <v>20</v>
      </c>
      <c r="B6" s="30">
        <v>25</v>
      </c>
      <c r="C6" s="30">
        <v>0.13700000000000001</v>
      </c>
      <c r="D6" s="30">
        <f t="shared" si="0"/>
        <v>3.4250000000000003</v>
      </c>
      <c r="E6" s="31">
        <f t="shared" si="1"/>
        <v>1.7125000000000001</v>
      </c>
    </row>
    <row r="7" spans="1:5" s="12" customFormat="1" x14ac:dyDescent="0.25">
      <c r="A7" s="31" t="s">
        <v>23</v>
      </c>
      <c r="B7" s="31">
        <v>25</v>
      </c>
      <c r="C7" s="30">
        <v>0.13700000000000001</v>
      </c>
      <c r="D7" s="30">
        <f t="shared" si="0"/>
        <v>3.4250000000000003</v>
      </c>
      <c r="E7" s="31">
        <f t="shared" si="1"/>
        <v>1.7125000000000001</v>
      </c>
    </row>
    <row r="8" spans="1:5" s="12" customFormat="1" x14ac:dyDescent="0.25">
      <c r="A8" s="31" t="s">
        <v>24</v>
      </c>
      <c r="B8" s="31">
        <v>80</v>
      </c>
      <c r="C8" s="30">
        <v>0.13700000000000001</v>
      </c>
      <c r="D8" s="30">
        <f>B8*C8</f>
        <v>10.96</v>
      </c>
      <c r="E8" s="31">
        <f t="shared" si="1"/>
        <v>5.48</v>
      </c>
    </row>
    <row r="9" spans="1:5" s="12" customFormat="1" x14ac:dyDescent="0.25">
      <c r="A9" s="31" t="s">
        <v>25</v>
      </c>
      <c r="B9" s="31">
        <v>25</v>
      </c>
      <c r="C9" s="30">
        <v>0.13700000000000001</v>
      </c>
      <c r="D9" s="30">
        <f t="shared" si="0"/>
        <v>3.4250000000000003</v>
      </c>
      <c r="E9" s="31">
        <f t="shared" si="1"/>
        <v>1.7125000000000001</v>
      </c>
    </row>
    <row r="10" spans="1:5" s="12" customFormat="1" x14ac:dyDescent="0.25">
      <c r="A10" s="31" t="s">
        <v>26</v>
      </c>
      <c r="B10" s="31">
        <v>55</v>
      </c>
      <c r="C10" s="30">
        <v>0.13700000000000001</v>
      </c>
      <c r="D10" s="30">
        <f t="shared" si="0"/>
        <v>7.5350000000000001</v>
      </c>
      <c r="E10" s="31">
        <f t="shared" si="1"/>
        <v>3.7675000000000001</v>
      </c>
    </row>
    <row r="11" spans="1:5" s="12" customFormat="1" x14ac:dyDescent="0.25">
      <c r="A11" s="31" t="s">
        <v>27</v>
      </c>
      <c r="B11" s="31">
        <v>25</v>
      </c>
      <c r="C11" s="30">
        <v>0.13700000000000001</v>
      </c>
      <c r="D11" s="30">
        <f t="shared" si="0"/>
        <v>3.4250000000000003</v>
      </c>
      <c r="E11" s="31">
        <f t="shared" si="1"/>
        <v>1.7125000000000001</v>
      </c>
    </row>
    <row r="12" spans="1:5" s="12" customFormat="1" x14ac:dyDescent="0.25">
      <c r="A12" s="31" t="s">
        <v>28</v>
      </c>
      <c r="B12" s="31">
        <v>40</v>
      </c>
      <c r="C12" s="30">
        <v>0.13700000000000001</v>
      </c>
      <c r="D12" s="30">
        <f t="shared" si="0"/>
        <v>5.48</v>
      </c>
      <c r="E12" s="31">
        <f t="shared" si="1"/>
        <v>2.74</v>
      </c>
    </row>
    <row r="13" spans="1:5" s="12" customFormat="1" x14ac:dyDescent="0.25">
      <c r="A13" s="31" t="s">
        <v>29</v>
      </c>
      <c r="B13" s="31">
        <v>55</v>
      </c>
      <c r="C13" s="30">
        <v>0.13700000000000001</v>
      </c>
      <c r="D13" s="30">
        <f t="shared" si="0"/>
        <v>7.5350000000000001</v>
      </c>
      <c r="E13" s="31">
        <f t="shared" si="1"/>
        <v>3.7675000000000001</v>
      </c>
    </row>
    <row r="14" spans="1:5" s="12" customFormat="1" x14ac:dyDescent="0.25">
      <c r="A14" s="31" t="s">
        <v>30</v>
      </c>
      <c r="B14" s="31">
        <v>40</v>
      </c>
      <c r="C14" s="30">
        <v>0.13700000000000001</v>
      </c>
      <c r="D14" s="30">
        <f t="shared" si="0"/>
        <v>5.48</v>
      </c>
      <c r="E14" s="31">
        <f t="shared" si="1"/>
        <v>2.74</v>
      </c>
    </row>
    <row r="15" spans="1:5" s="12" customFormat="1" x14ac:dyDescent="0.25">
      <c r="A15" s="31" t="s">
        <v>31</v>
      </c>
      <c r="B15" s="31">
        <v>55</v>
      </c>
      <c r="C15" s="30">
        <v>0.13700000000000001</v>
      </c>
      <c r="D15" s="30">
        <f t="shared" si="0"/>
        <v>7.5350000000000001</v>
      </c>
      <c r="E15" s="31">
        <f t="shared" si="1"/>
        <v>3.7675000000000001</v>
      </c>
    </row>
    <row r="16" spans="1:5" s="12" customFormat="1" x14ac:dyDescent="0.25">
      <c r="A16" s="31" t="s">
        <v>32</v>
      </c>
      <c r="B16" s="31">
        <v>30</v>
      </c>
      <c r="C16" s="30">
        <v>0.13700000000000001</v>
      </c>
      <c r="D16" s="30">
        <f>B16*C16</f>
        <v>4.1100000000000003</v>
      </c>
      <c r="E16" s="31">
        <f t="shared" si="1"/>
        <v>2.0550000000000002</v>
      </c>
    </row>
    <row r="17" spans="1:5" s="12" customFormat="1" x14ac:dyDescent="0.25">
      <c r="A17" s="31" t="s">
        <v>33</v>
      </c>
      <c r="B17" s="31">
        <v>55</v>
      </c>
      <c r="C17" s="30">
        <v>0.13700000000000001</v>
      </c>
      <c r="D17" s="30">
        <f t="shared" ref="D17:D19" si="2">B17*C17</f>
        <v>7.5350000000000001</v>
      </c>
      <c r="E17" s="31">
        <f t="shared" si="1"/>
        <v>3.7675000000000001</v>
      </c>
    </row>
    <row r="18" spans="1:5" s="12" customFormat="1" x14ac:dyDescent="0.25">
      <c r="A18" s="31" t="s">
        <v>34</v>
      </c>
      <c r="B18" s="31">
        <v>30</v>
      </c>
      <c r="C18" s="30">
        <v>0.13700000000000001</v>
      </c>
      <c r="D18" s="30">
        <f t="shared" si="2"/>
        <v>4.1100000000000003</v>
      </c>
      <c r="E18" s="31">
        <f t="shared" si="1"/>
        <v>2.0550000000000002</v>
      </c>
    </row>
    <row r="19" spans="1:5" s="12" customFormat="1" x14ac:dyDescent="0.25">
      <c r="A19" s="31" t="s">
        <v>35</v>
      </c>
      <c r="B19" s="31">
        <v>55</v>
      </c>
      <c r="C19" s="30">
        <v>0.13700000000000001</v>
      </c>
      <c r="D19" s="30">
        <f t="shared" si="2"/>
        <v>7.5350000000000001</v>
      </c>
      <c r="E19" s="31">
        <f t="shared" si="1"/>
        <v>3.7675000000000001</v>
      </c>
    </row>
    <row r="22" spans="1:5" x14ac:dyDescent="0.25">
      <c r="A22" s="1" t="s">
        <v>8</v>
      </c>
      <c r="C22" t="s">
        <v>8</v>
      </c>
    </row>
    <row r="23" spans="1:5" x14ac:dyDescent="0.25">
      <c r="A23" s="1" t="e">
        <f>#REF!/1000</f>
        <v>#REF!</v>
      </c>
      <c r="C23">
        <v>3.2735E-2</v>
      </c>
      <c r="D23">
        <f>SQRT(4*C23/3.14*0.75)</f>
        <v>0.17684874245243126</v>
      </c>
    </row>
    <row r="24" spans="1:5" x14ac:dyDescent="0.25">
      <c r="A24" s="2" t="e">
        <f t="shared" ref="A24" si="3">#REF!/1000</f>
        <v>#REF!</v>
      </c>
      <c r="C24">
        <v>1.2515E-2</v>
      </c>
      <c r="D24">
        <f t="shared" ref="D24" si="4">SQRT(4*C24/3.14*0.75)</f>
        <v>0.10934809723733994</v>
      </c>
    </row>
    <row r="25" spans="1:5" x14ac:dyDescent="0.25">
      <c r="A25" s="2" t="e">
        <f t="shared" ref="A25" si="5">#REF!/1000</f>
        <v>#REF!</v>
      </c>
      <c r="C25">
        <v>-4.7190000000000001E-3</v>
      </c>
      <c r="D25">
        <f>SQRT(4*ABS(C2)/3.14*0.75)</f>
        <v>0.36178960701659596</v>
      </c>
    </row>
    <row r="26" spans="1:5" x14ac:dyDescent="0.25">
      <c r="A26" s="2" t="e">
        <f t="shared" ref="A26" si="6">#REF!/1000</f>
        <v>#REF!</v>
      </c>
      <c r="C26">
        <v>-1.7999999999999999E-2</v>
      </c>
      <c r="D26">
        <f>SQRT(4*ABS(C3)/3.14*0.75)</f>
        <v>0.36178960701659596</v>
      </c>
    </row>
    <row r="27" spans="1:5" x14ac:dyDescent="0.25">
      <c r="A27" s="15" t="e">
        <f t="shared" ref="A27" si="7">#REF!/1000</f>
        <v>#REF!</v>
      </c>
      <c r="C27">
        <v>-3.6734999999999997E-2</v>
      </c>
      <c r="D27">
        <f t="shared" ref="D27" si="8">SQRT(4*ABS(C4)/3.14*0.75)</f>
        <v>0.36178960701659596</v>
      </c>
    </row>
    <row r="43" ht="15" customHeight="1" x14ac:dyDescent="0.25"/>
    <row r="57" ht="15" customHeight="1" x14ac:dyDescent="0.25"/>
    <row r="71" ht="15" customHeight="1" x14ac:dyDescent="0.25"/>
    <row r="85" ht="15" customHeight="1" x14ac:dyDescent="0.25"/>
    <row r="99" ht="15" customHeight="1" x14ac:dyDescent="0.25"/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1"/>
  <sheetViews>
    <sheetView workbookViewId="0">
      <selection activeCell="O14" sqref="O14"/>
    </sheetView>
  </sheetViews>
  <sheetFormatPr defaultRowHeight="15" x14ac:dyDescent="0.25"/>
  <sheetData>
    <row r="2" spans="1:11" x14ac:dyDescent="0.25">
      <c r="A2" t="s">
        <v>7</v>
      </c>
    </row>
    <row r="3" spans="1:11" x14ac:dyDescent="0.25">
      <c r="A3">
        <v>32.734999999999999</v>
      </c>
      <c r="B3">
        <v>0.1826485958175976</v>
      </c>
      <c r="G3">
        <v>12</v>
      </c>
      <c r="H3">
        <v>3.4970415157754884</v>
      </c>
      <c r="J3">
        <v>4.7190000000000003</v>
      </c>
      <c r="K3">
        <v>2.1929824382612582</v>
      </c>
    </row>
    <row r="4" spans="1:11" x14ac:dyDescent="0.25">
      <c r="A4">
        <v>12.515000000000001</v>
      </c>
      <c r="B4">
        <v>0.11293422921058317</v>
      </c>
      <c r="G4">
        <v>4.8079999999999998</v>
      </c>
      <c r="H4">
        <v>2.2135655877938127</v>
      </c>
      <c r="J4">
        <v>9.0139999999999993</v>
      </c>
      <c r="K4">
        <v>3.0308813962635623</v>
      </c>
    </row>
    <row r="5" spans="1:11" x14ac:dyDescent="0.25">
      <c r="A5">
        <v>-4.7190000000000003</v>
      </c>
      <c r="B5">
        <v>6.93481937365516E-2</v>
      </c>
      <c r="G5">
        <v>-2.3290000000000002</v>
      </c>
      <c r="H5">
        <v>1.54061779319641</v>
      </c>
      <c r="J5">
        <v>-1.5349999999999999</v>
      </c>
      <c r="K5">
        <v>1.2507322695889327</v>
      </c>
    </row>
    <row r="6" spans="1:11" x14ac:dyDescent="0.25">
      <c r="A6">
        <v>-18</v>
      </c>
      <c r="B6">
        <v>0.13543983551594407</v>
      </c>
      <c r="G6">
        <v>-9.0139999999999993</v>
      </c>
      <c r="H6">
        <v>3.0308813962635623</v>
      </c>
      <c r="J6">
        <v>-4.7190000000000003</v>
      </c>
      <c r="K6">
        <v>2.1929824382612582</v>
      </c>
    </row>
    <row r="7" spans="1:11" x14ac:dyDescent="0.25">
      <c r="A7">
        <v>-36.734999999999999</v>
      </c>
      <c r="B7">
        <v>0.19348628549630909</v>
      </c>
      <c r="G7">
        <v>-12.515000000000001</v>
      </c>
      <c r="H7">
        <v>3.5712939010096236</v>
      </c>
    </row>
    <row r="8" spans="1:11" x14ac:dyDescent="0.25">
      <c r="B8">
        <v>0</v>
      </c>
    </row>
    <row r="9" spans="1:11" x14ac:dyDescent="0.25">
      <c r="B9">
        <v>0</v>
      </c>
      <c r="J9" t="s">
        <v>7</v>
      </c>
    </row>
    <row r="10" spans="1:11" x14ac:dyDescent="0.25">
      <c r="A10" t="s">
        <v>7</v>
      </c>
      <c r="B10" t="e">
        <v>#VALUE!</v>
      </c>
      <c r="J10">
        <v>18</v>
      </c>
      <c r="K10">
        <v>4.2829836614894976</v>
      </c>
    </row>
    <row r="11" spans="1:11" x14ac:dyDescent="0.25">
      <c r="A11">
        <v>1</v>
      </c>
      <c r="B11">
        <v>1.0095089302501374</v>
      </c>
      <c r="J11">
        <v>4.7190000000000003</v>
      </c>
      <c r="K11">
        <v>2.1929824382612582</v>
      </c>
    </row>
    <row r="12" spans="1:11" x14ac:dyDescent="0.25">
      <c r="A12">
        <v>-0.5625</v>
      </c>
      <c r="B12">
        <v>0.75713169768760313</v>
      </c>
      <c r="J12">
        <v>-5.3780000000000001</v>
      </c>
      <c r="K12">
        <v>2.3411032295074454</v>
      </c>
    </row>
    <row r="13" spans="1:11" x14ac:dyDescent="0.25">
      <c r="A13">
        <v>-2.125</v>
      </c>
      <c r="B13">
        <v>1.4715995024263229</v>
      </c>
      <c r="J13">
        <v>-11.2</v>
      </c>
      <c r="K13">
        <v>3.3784630734778651</v>
      </c>
    </row>
    <row r="14" spans="1:11" x14ac:dyDescent="0.25">
      <c r="A14">
        <v>-0.8125</v>
      </c>
      <c r="B14">
        <v>0.90995905276391764</v>
      </c>
    </row>
    <row r="15" spans="1:11" x14ac:dyDescent="0.25">
      <c r="B15">
        <v>0</v>
      </c>
    </row>
    <row r="16" spans="1:11" x14ac:dyDescent="0.25">
      <c r="B16">
        <v>0</v>
      </c>
    </row>
    <row r="17" spans="1:2" x14ac:dyDescent="0.25">
      <c r="A17" t="s">
        <v>7</v>
      </c>
      <c r="B17" t="e">
        <v>#VALUE!</v>
      </c>
    </row>
    <row r="18" spans="1:2" x14ac:dyDescent="0.25">
      <c r="A18">
        <v>22.042753938594331</v>
      </c>
      <c r="B18">
        <v>4.7396152859108813</v>
      </c>
    </row>
    <row r="19" spans="1:2" x14ac:dyDescent="0.25">
      <c r="A19">
        <v>1.6376220220349142</v>
      </c>
      <c r="B19">
        <v>1.2918646069086932</v>
      </c>
    </row>
    <row r="20" spans="1:2" x14ac:dyDescent="0.25">
      <c r="A20">
        <v>-15.411246061405667</v>
      </c>
      <c r="B20">
        <v>3.9630453530362648</v>
      </c>
    </row>
    <row r="21" spans="1:2" x14ac:dyDescent="0.25">
      <c r="A21">
        <v>-28.692246061405669</v>
      </c>
      <c r="B21">
        <v>5.4074490788435563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topLeftCell="A37" workbookViewId="0">
      <selection activeCell="A64" sqref="A1:A1048576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4</vt:i4>
      </vt:variant>
    </vt:vector>
  </HeadingPairs>
  <TitlesOfParts>
    <vt:vector size="4" baseType="lpstr">
      <vt:lpstr>Sheet1</vt:lpstr>
      <vt:lpstr>Sheet2</vt:lpstr>
      <vt:lpstr>Φύλλο1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2021-06-07T20:11:35Z</dcterms:modified>
</cp:coreProperties>
</file>