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gel\Downloads\Υδραυλικά Έργα\"/>
    </mc:Choice>
  </mc:AlternateContent>
  <xr:revisionPtr revIDLastSave="0" documentId="13_ncr:1_{E89B3D55-13F9-4044-9741-F3B3D343D16A}" xr6:coauthVersionLast="47" xr6:coauthVersionMax="47" xr10:uidLastSave="{00000000-0000-0000-0000-000000000000}"/>
  <bookViews>
    <workbookView xWindow="-108" yWindow="-108" windowWidth="23256" windowHeight="12576" tabRatio="601" activeTab="4" xr2:uid="{E0FB2DD7-5039-46C8-AA55-1C3526EEF10C}"/>
  </bookViews>
  <sheets>
    <sheet name="Δεδομένα+ερώτημα1.1" sheetId="1" r:id="rId1"/>
    <sheet name="1.2" sheetId="2" r:id="rId2"/>
    <sheet name="1.3" sheetId="3" r:id="rId3"/>
    <sheet name="1.3 πίνακες" sheetId="4" r:id="rId4"/>
    <sheet name="1.3 συνδυαστική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20" i="3" l="1"/>
  <c r="AC21" i="3"/>
  <c r="AC19" i="3"/>
  <c r="AB20" i="3"/>
  <c r="AB21" i="3"/>
  <c r="AB19" i="3"/>
  <c r="AA20" i="3"/>
  <c r="AA21" i="3"/>
  <c r="AA19" i="3"/>
  <c r="Z20" i="3"/>
  <c r="Z21" i="3"/>
  <c r="Z19" i="3"/>
  <c r="V19" i="3"/>
  <c r="U32" i="3"/>
  <c r="U33" i="3"/>
  <c r="U31" i="3"/>
  <c r="X21" i="3"/>
  <c r="R21" i="5"/>
  <c r="V20" i="3"/>
  <c r="X20" i="3" s="1"/>
  <c r="V21" i="3"/>
  <c r="P22" i="3"/>
  <c r="P21" i="3"/>
  <c r="P20" i="3"/>
  <c r="AM50" i="4"/>
  <c r="AM51" i="4"/>
  <c r="AM52" i="4"/>
  <c r="AM53" i="4"/>
  <c r="AM54" i="4"/>
  <c r="AM55" i="4"/>
  <c r="AM56" i="4"/>
  <c r="AM57" i="4"/>
  <c r="AM58" i="4"/>
  <c r="AM59" i="4"/>
  <c r="AM60" i="4"/>
  <c r="AM61" i="4"/>
  <c r="AM62" i="4"/>
  <c r="AM49" i="4"/>
  <c r="H18" i="4"/>
  <c r="H19" i="4"/>
  <c r="H20" i="4"/>
  <c r="H21" i="4"/>
  <c r="H22" i="4"/>
  <c r="H23" i="4"/>
  <c r="H17" i="4"/>
  <c r="N27" i="2"/>
  <c r="Q12" i="2"/>
  <c r="L17" i="2"/>
  <c r="L6" i="2"/>
  <c r="J3" i="1"/>
  <c r="F8" i="1" s="1"/>
  <c r="H8" i="1" s="1"/>
  <c r="F3" i="1"/>
  <c r="F7" i="1" s="1"/>
  <c r="H7" i="1" s="1"/>
  <c r="AI53" i="4"/>
  <c r="AI57" i="4"/>
  <c r="AI61" i="4"/>
  <c r="AC50" i="4"/>
  <c r="AI50" i="4" s="1"/>
  <c r="AC51" i="4"/>
  <c r="AI51" i="4" s="1"/>
  <c r="AC52" i="4"/>
  <c r="AI52" i="4" s="1"/>
  <c r="AC53" i="4"/>
  <c r="AC54" i="4"/>
  <c r="AI54" i="4" s="1"/>
  <c r="AC55" i="4"/>
  <c r="AI55" i="4" s="1"/>
  <c r="AC56" i="4"/>
  <c r="AI56" i="4" s="1"/>
  <c r="AC57" i="4"/>
  <c r="AC58" i="4"/>
  <c r="AI58" i="4" s="1"/>
  <c r="AC59" i="4"/>
  <c r="AI59" i="4" s="1"/>
  <c r="AC60" i="4"/>
  <c r="AI60" i="4" s="1"/>
  <c r="AC61" i="4"/>
  <c r="AC62" i="4"/>
  <c r="AI62" i="4" s="1"/>
  <c r="AC49" i="4"/>
  <c r="AI49" i="4" s="1"/>
  <c r="H60" i="4"/>
  <c r="H61" i="4"/>
  <c r="I61" i="4" s="1"/>
  <c r="H62" i="4"/>
  <c r="I62" i="4" s="1"/>
  <c r="G62" i="4"/>
  <c r="P62" i="4"/>
  <c r="G61" i="4"/>
  <c r="P61" i="4"/>
  <c r="G60" i="4"/>
  <c r="P60" i="4"/>
  <c r="P56" i="4"/>
  <c r="P57" i="4"/>
  <c r="P58" i="4"/>
  <c r="P59" i="4"/>
  <c r="H56" i="4"/>
  <c r="H57" i="4"/>
  <c r="I57" i="4" s="1"/>
  <c r="H58" i="4"/>
  <c r="H59" i="4"/>
  <c r="I59" i="4" s="1"/>
  <c r="G56" i="4"/>
  <c r="G57" i="4"/>
  <c r="G58" i="4"/>
  <c r="G59" i="4"/>
  <c r="H33" i="4"/>
  <c r="H34" i="4"/>
  <c r="H35" i="4"/>
  <c r="H36" i="4"/>
  <c r="H37" i="4"/>
  <c r="H38" i="4"/>
  <c r="H39" i="4"/>
  <c r="H40" i="4"/>
  <c r="H41" i="4"/>
  <c r="H42" i="4"/>
  <c r="H32" i="4"/>
  <c r="H5" i="3"/>
  <c r="L5" i="3" s="1"/>
  <c r="L5" i="2"/>
  <c r="F9" i="1"/>
  <c r="Q11" i="5"/>
  <c r="H50" i="4"/>
  <c r="P55" i="4"/>
  <c r="G55" i="4"/>
  <c r="P54" i="4"/>
  <c r="G54" i="4"/>
  <c r="P53" i="4"/>
  <c r="G53" i="4"/>
  <c r="P52" i="4"/>
  <c r="G52" i="4"/>
  <c r="P51" i="4"/>
  <c r="G51" i="4"/>
  <c r="P50" i="4"/>
  <c r="G50" i="4"/>
  <c r="P49" i="4"/>
  <c r="G49" i="4"/>
  <c r="P32" i="4"/>
  <c r="P33" i="4"/>
  <c r="P34" i="4"/>
  <c r="P35" i="4"/>
  <c r="G32" i="4"/>
  <c r="G33" i="4"/>
  <c r="G34" i="4"/>
  <c r="G35" i="4"/>
  <c r="P39" i="4"/>
  <c r="P40" i="4"/>
  <c r="P41" i="4"/>
  <c r="P42" i="4"/>
  <c r="P38" i="4"/>
  <c r="P37" i="4"/>
  <c r="P36" i="4"/>
  <c r="E28" i="4"/>
  <c r="G42" i="4"/>
  <c r="G41" i="4"/>
  <c r="G40" i="4"/>
  <c r="G39" i="4"/>
  <c r="G38" i="4"/>
  <c r="G37" i="4"/>
  <c r="G36" i="4"/>
  <c r="P19" i="3"/>
  <c r="P18" i="4"/>
  <c r="P19" i="4"/>
  <c r="P20" i="4"/>
  <c r="P21" i="4"/>
  <c r="P22" i="4"/>
  <c r="P23" i="4"/>
  <c r="P17" i="4"/>
  <c r="G18" i="4"/>
  <c r="G19" i="4"/>
  <c r="G20" i="4"/>
  <c r="G21" i="4"/>
  <c r="G22" i="4"/>
  <c r="G23" i="4"/>
  <c r="G17" i="4"/>
  <c r="L4" i="3"/>
  <c r="H4" i="3"/>
  <c r="L19" i="2"/>
  <c r="M20" i="2"/>
  <c r="F6" i="2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Q2" i="2"/>
  <c r="Q3" i="2" s="1"/>
  <c r="I34" i="1"/>
  <c r="H33" i="1"/>
  <c r="H32" i="1"/>
  <c r="K32" i="1" s="1"/>
  <c r="I32" i="1"/>
  <c r="L32" i="1" s="1"/>
  <c r="I36" i="1"/>
  <c r="L36" i="1" s="1"/>
  <c r="I35" i="1"/>
  <c r="L35" i="1" s="1"/>
  <c r="H35" i="1"/>
  <c r="K35" i="1" s="1"/>
  <c r="H34" i="1"/>
  <c r="K34" i="1" s="1"/>
  <c r="F11" i="1"/>
  <c r="H11" i="1" s="1"/>
  <c r="F10" i="1"/>
  <c r="H10" i="1" s="1"/>
  <c r="H9" i="1"/>
  <c r="O61" i="4" l="1"/>
  <c r="R61" i="4"/>
  <c r="S61" i="4" s="1"/>
  <c r="O59" i="4"/>
  <c r="R59" i="4"/>
  <c r="S59" i="4" s="1"/>
  <c r="U59" i="4" s="1"/>
  <c r="V59" i="4" s="1"/>
  <c r="R57" i="4"/>
  <c r="S57" i="4" s="1"/>
  <c r="O57" i="4"/>
  <c r="R62" i="4"/>
  <c r="S62" i="4" s="1"/>
  <c r="O62" i="4"/>
  <c r="I58" i="4"/>
  <c r="I60" i="4"/>
  <c r="U62" i="4"/>
  <c r="V62" i="4" s="1"/>
  <c r="I56" i="4"/>
  <c r="I35" i="4"/>
  <c r="H53" i="4"/>
  <c r="H52" i="4"/>
  <c r="H54" i="4"/>
  <c r="H49" i="4"/>
  <c r="H55" i="4"/>
  <c r="H51" i="4"/>
  <c r="I50" i="4"/>
  <c r="O50" i="4" s="1"/>
  <c r="I53" i="4"/>
  <c r="R53" i="4" s="1"/>
  <c r="S53" i="4" s="1"/>
  <c r="I23" i="4"/>
  <c r="I19" i="4"/>
  <c r="R19" i="4" s="1"/>
  <c r="I34" i="4"/>
  <c r="I33" i="4"/>
  <c r="O33" i="4" s="1"/>
  <c r="I21" i="4"/>
  <c r="R21" i="4" s="1"/>
  <c r="I32" i="4"/>
  <c r="R32" i="4" s="1"/>
  <c r="R35" i="4"/>
  <c r="O35" i="4"/>
  <c r="I17" i="4"/>
  <c r="I20" i="4"/>
  <c r="R20" i="4" s="1"/>
  <c r="I39" i="4"/>
  <c r="I36" i="4"/>
  <c r="I38" i="4"/>
  <c r="I37" i="4"/>
  <c r="I41" i="4"/>
  <c r="I22" i="4"/>
  <c r="R22" i="4" s="1"/>
  <c r="I18" i="4"/>
  <c r="I40" i="4"/>
  <c r="O19" i="4"/>
  <c r="I42" i="4"/>
  <c r="K33" i="1"/>
  <c r="H38" i="1"/>
  <c r="H39" i="1" s="1"/>
  <c r="I41" i="1" s="1"/>
  <c r="L34" i="1"/>
  <c r="L38" i="1" s="1"/>
  <c r="I38" i="1"/>
  <c r="K38" i="1"/>
  <c r="K39" i="1" s="1"/>
  <c r="I42" i="1" s="1"/>
  <c r="I52" i="4" l="1"/>
  <c r="R52" i="4" s="1"/>
  <c r="S52" i="4" s="1"/>
  <c r="U52" i="4" s="1"/>
  <c r="V52" i="4" s="1"/>
  <c r="AO53" i="4"/>
  <c r="T53" i="4"/>
  <c r="I55" i="4"/>
  <c r="U53" i="4"/>
  <c r="V53" i="4" s="1"/>
  <c r="AE53" i="4" s="1"/>
  <c r="R60" i="4"/>
  <c r="S60" i="4" s="1"/>
  <c r="O60" i="4"/>
  <c r="U61" i="4"/>
  <c r="V61" i="4" s="1"/>
  <c r="AO61" i="4"/>
  <c r="T61" i="4"/>
  <c r="AE62" i="4"/>
  <c r="AG62" i="4" s="1"/>
  <c r="AK62" i="4"/>
  <c r="I51" i="4"/>
  <c r="I49" i="4"/>
  <c r="R49" i="4" s="1"/>
  <c r="S49" i="4" s="1"/>
  <c r="U49" i="4"/>
  <c r="V49" i="4" s="1"/>
  <c r="AE59" i="4"/>
  <c r="AG59" i="4" s="1"/>
  <c r="AK59" i="4"/>
  <c r="AO62" i="4"/>
  <c r="T62" i="4"/>
  <c r="T59" i="4"/>
  <c r="AO59" i="4"/>
  <c r="U57" i="4"/>
  <c r="V57" i="4" s="1"/>
  <c r="AO57" i="4"/>
  <c r="T57" i="4"/>
  <c r="O18" i="4"/>
  <c r="R18" i="4"/>
  <c r="O17" i="4"/>
  <c r="R17" i="4"/>
  <c r="O23" i="4"/>
  <c r="R23" i="4"/>
  <c r="I54" i="4"/>
  <c r="O54" i="4" s="1"/>
  <c r="R56" i="4"/>
  <c r="S56" i="4" s="1"/>
  <c r="O56" i="4"/>
  <c r="R58" i="4"/>
  <c r="S58" i="4" s="1"/>
  <c r="O58" i="4"/>
  <c r="O21" i="4"/>
  <c r="R50" i="4"/>
  <c r="S50" i="4" s="1"/>
  <c r="R55" i="4"/>
  <c r="S55" i="4" s="1"/>
  <c r="U55" i="4" s="1"/>
  <c r="V55" i="4" s="1"/>
  <c r="O55" i="4"/>
  <c r="O52" i="4"/>
  <c r="O49" i="4"/>
  <c r="O53" i="4"/>
  <c r="R33" i="4"/>
  <c r="O32" i="4"/>
  <c r="R34" i="4"/>
  <c r="O34" i="4"/>
  <c r="O42" i="4"/>
  <c r="R42" i="4"/>
  <c r="R41" i="4"/>
  <c r="O41" i="4"/>
  <c r="R39" i="4"/>
  <c r="O39" i="4"/>
  <c r="R40" i="4"/>
  <c r="O40" i="4"/>
  <c r="O20" i="4"/>
  <c r="O22" i="4"/>
  <c r="O36" i="4"/>
  <c r="R36" i="4"/>
  <c r="R37" i="4"/>
  <c r="O37" i="4"/>
  <c r="R38" i="4"/>
  <c r="O38" i="4"/>
  <c r="R54" i="4" l="1"/>
  <c r="S54" i="4" s="1"/>
  <c r="U54" i="4" s="1"/>
  <c r="V54" i="4" s="1"/>
  <c r="AE54" i="4" s="1"/>
  <c r="AG54" i="4" s="1"/>
  <c r="AK54" i="4"/>
  <c r="AE55" i="4"/>
  <c r="AG55" i="4" s="1"/>
  <c r="AK55" i="4"/>
  <c r="R51" i="4"/>
  <c r="S51" i="4" s="1"/>
  <c r="O51" i="4"/>
  <c r="AQ59" i="4"/>
  <c r="AE61" i="4"/>
  <c r="AG61" i="4" s="1"/>
  <c r="AQ61" i="4" s="1"/>
  <c r="AK61" i="4"/>
  <c r="AK52" i="4"/>
  <c r="AE52" i="4"/>
  <c r="AG52" i="4" s="1"/>
  <c r="AG53" i="4"/>
  <c r="AQ53" i="4" s="1"/>
  <c r="AK53" i="4"/>
  <c r="AO54" i="4"/>
  <c r="T54" i="4"/>
  <c r="T55" i="4"/>
  <c r="AO55" i="4"/>
  <c r="AO58" i="4"/>
  <c r="T58" i="4"/>
  <c r="U58" i="4"/>
  <c r="V58" i="4" s="1"/>
  <c r="AE49" i="4"/>
  <c r="AG49" i="4" s="1"/>
  <c r="AK49" i="4"/>
  <c r="AQ62" i="4"/>
  <c r="AO52" i="4"/>
  <c r="T52" i="4"/>
  <c r="AO56" i="4"/>
  <c r="T56" i="4"/>
  <c r="U56" i="4"/>
  <c r="V56" i="4" s="1"/>
  <c r="AO50" i="4"/>
  <c r="T50" i="4"/>
  <c r="U50" i="4"/>
  <c r="V50" i="4" s="1"/>
  <c r="AE57" i="4"/>
  <c r="AG57" i="4" s="1"/>
  <c r="AQ57" i="4" s="1"/>
  <c r="AK57" i="4"/>
  <c r="T49" i="4"/>
  <c r="AO49" i="4"/>
  <c r="AO60" i="4"/>
  <c r="T60" i="4"/>
  <c r="U60" i="4"/>
  <c r="V60" i="4" s="1"/>
  <c r="AQ52" i="4" l="1"/>
  <c r="AQ55" i="4"/>
  <c r="AK56" i="4"/>
  <c r="AE56" i="4"/>
  <c r="AG56" i="4" s="1"/>
  <c r="AQ56" i="4" s="1"/>
  <c r="AE50" i="4"/>
  <c r="AG50" i="4" s="1"/>
  <c r="AQ50" i="4" s="1"/>
  <c r="AK50" i="4"/>
  <c r="AK60" i="4"/>
  <c r="AE60" i="4"/>
  <c r="AG60" i="4" s="1"/>
  <c r="AQ60" i="4" s="1"/>
  <c r="AE58" i="4"/>
  <c r="AG58" i="4" s="1"/>
  <c r="AQ58" i="4" s="1"/>
  <c r="AK58" i="4"/>
  <c r="AQ49" i="4"/>
  <c r="T51" i="4"/>
  <c r="AO51" i="4"/>
  <c r="U51" i="4"/>
  <c r="V51" i="4" s="1"/>
  <c r="AQ54" i="4"/>
  <c r="AE51" i="4" l="1"/>
  <c r="AG51" i="4" s="1"/>
  <c r="AQ51" i="4" s="1"/>
  <c r="AK51" i="4"/>
  <c r="X19" i="3" l="1"/>
</calcChain>
</file>

<file path=xl/sharedStrings.xml><?xml version="1.0" encoding="utf-8"?>
<sst xmlns="http://schemas.openxmlformats.org/spreadsheetml/2006/main" count="527" uniqueCount="329">
  <si>
    <t>Σημερινός πληθυσμός οικισμου (Κ)</t>
  </si>
  <si>
    <t>Σημερινός πληθυσμός Παραθεριστών (Π)</t>
  </si>
  <si>
    <t>Ετήσια ποσοστιαία αυξηση πληθυσμού (Λ) [%]</t>
  </si>
  <si>
    <t>Ξ1 - Αριθμός υφιστάμενων ξενοδοχείων</t>
  </si>
  <si>
    <t>Κλ1 - Αριθμός κλινών έκαστου ξενοδοχείου Ξ1</t>
  </si>
  <si>
    <t>Ξ2 - Αριθμός μελλοντικών ξενοδοχείων</t>
  </si>
  <si>
    <t>Κλ2 - Αριθμός κλινών έκαστου μελλοντικού ξενοδοχείου Ξ2</t>
  </si>
  <si>
    <t>Καταναλωση σε νερο υδρευσης ανα Μόνιμο κάτοικο και ημέρα (l/κατ/d)</t>
  </si>
  <si>
    <t>Καταναλωση σε νερο υδρευσης ανα Παραθεριστή και ημέρα (l/παρ/d)</t>
  </si>
  <si>
    <t>Καταναλωση σε νερο υδρευσης ανα κλίνη και ημέρα (l/κλ./d)</t>
  </si>
  <si>
    <t>Παροχή πηγής οικισμού (Qπ) [m^3/day]</t>
  </si>
  <si>
    <t>Υψος δεξαμενής (φ) [m]</t>
  </si>
  <si>
    <t>Ωρες λειτουργίας αντλίας γεώτρησης κάθε μέρα (H)</t>
  </si>
  <si>
    <t>Μηκος αγωγού ΠΔ [m]</t>
  </si>
  <si>
    <t>Μήκος αγωγού ΓΔ [m]</t>
  </si>
  <si>
    <t>Μηκος αγωγού ΔΟ [m]</t>
  </si>
  <si>
    <t>Καταναλωση βιοτεχνικού πάρκου  (m3/d)</t>
  </si>
  <si>
    <t>ΩΜΕΤ - Ώρες λειτουργίας βιοτεχνικού πάρκου ανά ημέρα (h)</t>
  </si>
  <si>
    <t>ΚΕΛ - Καταναλωση Ελαιουργείου  (m3/d)</t>
  </si>
  <si>
    <t>Δεδομένα</t>
  </si>
  <si>
    <t>Ορίζοντας σχεδιασμού:40 χρόνια</t>
  </si>
  <si>
    <t>Εκτίμηση πληθυσμόυ μόνιμων και παραθεριστών μετά από 40 χρόνια</t>
  </si>
  <si>
    <t>P=Po(1+r%)^t</t>
  </si>
  <si>
    <t>2022-&gt;2062</t>
  </si>
  <si>
    <t>Μόνιμοι 2062</t>
  </si>
  <si>
    <t>Παραθεριστές 2062</t>
  </si>
  <si>
    <t>Q_μόνιμων</t>
  </si>
  <si>
    <t>L/d</t>
  </si>
  <si>
    <t>Q_παραθεριστών</t>
  </si>
  <si>
    <t>Υπολογισμός παροχής Q_i για κάθε χρήση (το 2062)</t>
  </si>
  <si>
    <t>Q_βιοτενχ.</t>
  </si>
  <si>
    <t>Q_ελαιουργείου</t>
  </si>
  <si>
    <t>L/s</t>
  </si>
  <si>
    <t>Q_τουριστών*</t>
  </si>
  <si>
    <t>λ1 (εξωτερικό υδρ.)</t>
  </si>
  <si>
    <t>Συντελεστές</t>
  </si>
  <si>
    <t>λ2 (εσωτερικό υδρ.)</t>
  </si>
  <si>
    <t>1 = 24/24</t>
  </si>
  <si>
    <t>*υπόθεση για 100% πληρότητα ξενοδοχείων</t>
  </si>
  <si>
    <t>Υπολογισμός παροχής εσωτερικού και εξωτερικού υδραγωγείου (παροχές σχεδιασμού)</t>
  </si>
  <si>
    <t>Μήνας</t>
  </si>
  <si>
    <t>Μόνιμοι</t>
  </si>
  <si>
    <t>+</t>
  </si>
  <si>
    <t>Τουρίστες</t>
  </si>
  <si>
    <t>Βιοτεχν</t>
  </si>
  <si>
    <t>Ελαιουργ</t>
  </si>
  <si>
    <t>1)</t>
  </si>
  <si>
    <t>Α</t>
  </si>
  <si>
    <t>Β</t>
  </si>
  <si>
    <t>Σενάριο Α και Β τα δυσμενέστερα, το Α συναντάται σε 4 μήνες</t>
  </si>
  <si>
    <t>Εύρεση δυσμενέστερων σεναρίων κατανάλωσης , σχεδιασμός βάσει αυτών</t>
  </si>
  <si>
    <t>Α:</t>
  </si>
  <si>
    <t>Β:</t>
  </si>
  <si>
    <t>Δεν εχω παραθεριστές, τουρισμός 90%, όλα τα άλλα μέσα</t>
  </si>
  <si>
    <t>κατανάλωση σε όλα 100%, δεν εχω μόνο από το ελαιουργείο</t>
  </si>
  <si>
    <t>2)</t>
  </si>
  <si>
    <t>Έλεγχος για τα σενάρια Α και Β το καλοκαίρι (το καλοκαίρι έχω τη μεγαλύτερη κατανάλωση)</t>
  </si>
  <si>
    <t>Qmax,i,day</t>
  </si>
  <si>
    <t>Qmax,i,hour</t>
  </si>
  <si>
    <t>λ1</t>
  </si>
  <si>
    <t>A</t>
  </si>
  <si>
    <t>B</t>
  </si>
  <si>
    <t>λ2</t>
  </si>
  <si>
    <t>λ1= συντελεστής ημερήσιας αιχμής</t>
  </si>
  <si>
    <t>λ2= συντελεστής ωριαίας αιχμής</t>
  </si>
  <si>
    <t>Q_i</t>
  </si>
  <si>
    <t>Q_πυρόσβεσης*</t>
  </si>
  <si>
    <t>×</t>
  </si>
  <si>
    <t>*παροχή πυρόσβεσης μόνο στο εσωτερικό υδραγωγείο</t>
  </si>
  <si>
    <t>Σύνολο L/d</t>
  </si>
  <si>
    <t>Παραθερ.</t>
  </si>
  <si>
    <t>Παροχή σχεδιασμού εξωτερικού υδραγωγείου</t>
  </si>
  <si>
    <t>Παροχή σχεδιασμού εσωτερικού υδραγωγείου</t>
  </si>
  <si>
    <t>Qmax,i,day=Q_i * λ1i</t>
  </si>
  <si>
    <t>Qmax,i,hour = Qmax,i ,day* λ2i</t>
  </si>
  <si>
    <t>1,7 = 24/14</t>
  </si>
  <si>
    <t>Qmax,day</t>
  </si>
  <si>
    <t>Qmax,hour</t>
  </si>
  <si>
    <t>Ο μέγιστος όγκος που θα συγκεντρωθεί στη δεξαμενή σε διάρκεια μίας ημέρας υπολογίζεται από τη Qmax,day:</t>
  </si>
  <si>
    <t>Qmax,day=</t>
  </si>
  <si>
    <t>L</t>
  </si>
  <si>
    <t>m3</t>
  </si>
  <si>
    <r>
      <rPr>
        <b/>
        <sz val="11"/>
        <color theme="1"/>
        <rFont val="Calibri"/>
        <family val="2"/>
        <charset val="161"/>
        <scheme val="minor"/>
      </rPr>
      <t xml:space="preserve">Vmax,day </t>
    </r>
    <r>
      <rPr>
        <sz val="11"/>
        <color theme="1"/>
        <rFont val="Calibri"/>
        <family val="2"/>
        <charset val="161"/>
        <scheme val="minor"/>
      </rPr>
      <t>= Qmax,day * 1day = Qmax,day*86400sec=</t>
    </r>
  </si>
  <si>
    <t>Ώρα</t>
  </si>
  <si>
    <t>Ζήτηση%</t>
  </si>
  <si>
    <t>0-1</t>
  </si>
  <si>
    <t>1--2</t>
  </si>
  <si>
    <t>2--3</t>
  </si>
  <si>
    <t>3--4</t>
  </si>
  <si>
    <t>4--5</t>
  </si>
  <si>
    <t>5--6</t>
  </si>
  <si>
    <t>6--7</t>
  </si>
  <si>
    <t>7--8</t>
  </si>
  <si>
    <t>8--9</t>
  </si>
  <si>
    <t>9--10</t>
  </si>
  <si>
    <t>10--11</t>
  </si>
  <si>
    <t>11--12</t>
  </si>
  <si>
    <t>12--13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</si>
  <si>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</si>
  <si>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</si>
  <si>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</si>
  <si>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</si>
  <si>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</si>
  <si>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</si>
  <si>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</si>
  <si>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</si>
  <si>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</si>
  <si>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</si>
  <si>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</si>
  <si>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Ποσοστό πηγής:</t>
  </si>
  <si>
    <t>Qπηγης/ Qmax,day=</t>
  </si>
  <si>
    <t>Συνεισφορά πηγής:</t>
  </si>
  <si>
    <t>Ποσοστό γεώτρησης:</t>
  </si>
  <si>
    <t>Συνεισφορά γεωτρ.:</t>
  </si>
  <si>
    <t>Εισροή Πηγής%</t>
  </si>
  <si>
    <t>Εισροή Γεώτρησης%</t>
  </si>
  <si>
    <t>Περίσσεια/Έλλειμμα%</t>
  </si>
  <si>
    <t>Υπολογισμός όγκου ρύθμισης</t>
  </si>
  <si>
    <t>Υπολογισμός όγκου ασφαλείας</t>
  </si>
  <si>
    <t>Vασφ. = max{ Vβλάβης,Vπυρκαγιάς}</t>
  </si>
  <si>
    <t>Vπυρκαγιάς=2κρουνοί*5L/s *3hr</t>
  </si>
  <si>
    <t>Vπυρκ.=αριθμός κρουνών*παροχή*διάρκεια πυρκαγιάς</t>
  </si>
  <si>
    <t>Υπολογισμός ωφέλιμου όγκου</t>
  </si>
  <si>
    <r>
      <t xml:space="preserve">Παροχή πηγής οικισμού (Qπ) [L/s] </t>
    </r>
    <r>
      <rPr>
        <i/>
        <sz val="11"/>
        <color theme="1"/>
        <rFont val="Calibri"/>
        <family val="2"/>
        <charset val="161"/>
        <scheme val="minor"/>
      </rPr>
      <t>δεδομένα</t>
    </r>
  </si>
  <si>
    <t>Υπολογισμός διαστάσεων δεξαμενής</t>
  </si>
  <si>
    <t>διπλού θαλάμου (σελ 84)</t>
  </si>
  <si>
    <t>Vβλάβης= [24/ (24-tστάσης)] *Qκαταθλ.*tβλάβης + Qπηγής*tβλάβης</t>
  </si>
  <si>
    <t>Vβλαβης=</t>
  </si>
  <si>
    <t>4hr βλάβη και 4hr στάση αντλίας</t>
  </si>
  <si>
    <t>Ωφέλιμο εμβαδόν = ωφέλιμος όγκος/ ωφέλιμο ύψος</t>
  </si>
  <si>
    <t>πλάτος x , μήκος y, αριθμός δεξαμενών n = 2</t>
  </si>
  <si>
    <t>y/x = 2n/(n+1)</t>
  </si>
  <si>
    <t>y/x=1,33</t>
  </si>
  <si>
    <t>Στάθμη γεώτρησης από την επιφάνεια εδάφους (ΣΓ) [m]</t>
  </si>
  <si>
    <t>Κόστος του αντλητικού συγκροτήματος (ΚΑΣ)   [€/kW]</t>
  </si>
  <si>
    <t>Ετήσιο κόστος συντήρησης των αντλιών (ΕΚΣΑ)   [€/kW]</t>
  </si>
  <si>
    <t>Κόστος άντλησης  (Καντλ)  [€/kW]</t>
  </si>
  <si>
    <t>ύψος 5m</t>
  </si>
  <si>
    <t>min(κλάση) = max{gΔΗmax/100 , 10atm}</t>
  </si>
  <si>
    <r>
      <t>ΔHmax = Aνώτερη στάθμη τροφοδοσίας - κατώτερο υψόμετρο αγωγού + 30</t>
    </r>
    <r>
      <rPr>
        <b/>
        <sz val="11"/>
        <color theme="1"/>
        <rFont val="Calibri"/>
        <family val="2"/>
        <charset val="161"/>
      </rPr>
      <t>~40m υδρ. Πλήγμα</t>
    </r>
  </si>
  <si>
    <r>
      <t xml:space="preserve">1) </t>
    </r>
    <r>
      <rPr>
        <b/>
        <u/>
        <sz val="11"/>
        <color theme="1"/>
        <rFont val="Calibri"/>
        <family val="2"/>
        <charset val="161"/>
        <scheme val="minor"/>
      </rPr>
      <t>Επιλογή κλάσης</t>
    </r>
  </si>
  <si>
    <t>Επιτόκιο αναγωγής (ΕΑ)</t>
  </si>
  <si>
    <t>Πηγή: +250m</t>
  </si>
  <si>
    <t>Δεξαμενή:+230m</t>
  </si>
  <si>
    <t>Γεώτρηση:+205m</t>
  </si>
  <si>
    <t>ΠΔ</t>
  </si>
  <si>
    <t xml:space="preserve">ΔHmax = </t>
  </si>
  <si>
    <t>m</t>
  </si>
  <si>
    <t>min(κλάση)=</t>
  </si>
  <si>
    <t>atm</t>
  </si>
  <si>
    <t>ΔΟ</t>
  </si>
  <si>
    <t>Οικισμός:+210m</t>
  </si>
  <si>
    <t>ΔΓ</t>
  </si>
  <si>
    <t>2) Επιλογή βέλτιστης διαμέτρου</t>
  </si>
  <si>
    <t>βρέθηκε : Qmax,day =</t>
  </si>
  <si>
    <t>Πίνακας οικονομικών διαμέτρων</t>
  </si>
  <si>
    <t>Ονομαστική Διάμετρος (mm)</t>
  </si>
  <si>
    <t>κλάση 10atm</t>
  </si>
  <si>
    <t>ΠΔ: minΠ - maxΔ = 250-(230+5) =</t>
  </si>
  <si>
    <t>ΓΔ: maxΔ - minΓ = 235-(205-36) =</t>
  </si>
  <si>
    <t>Εσωτερική διάμετρος (mm)</t>
  </si>
  <si>
    <t>HDPE 10atm</t>
  </si>
  <si>
    <t>Vmax</t>
  </si>
  <si>
    <t>Vmin</t>
  </si>
  <si>
    <r>
      <t>800&lt;D</t>
    </r>
    <r>
      <rPr>
        <sz val="11"/>
        <color theme="1"/>
        <rFont val="Calibri"/>
        <family val="2"/>
        <charset val="161"/>
      </rPr>
      <t>≤1000</t>
    </r>
  </si>
  <si>
    <t>D&gt;1000</t>
  </si>
  <si>
    <r>
      <t>600&lt;D</t>
    </r>
    <r>
      <rPr>
        <sz val="11"/>
        <color theme="1"/>
        <rFont val="Calibri"/>
        <family val="2"/>
        <charset val="161"/>
      </rPr>
      <t>≤</t>
    </r>
    <r>
      <rPr>
        <sz val="11"/>
        <color theme="1"/>
        <rFont val="Calibri"/>
        <family val="2"/>
        <charset val="161"/>
        <scheme val="minor"/>
      </rPr>
      <t>800</t>
    </r>
  </si>
  <si>
    <r>
      <t>450&lt;D</t>
    </r>
    <r>
      <rPr>
        <sz val="11"/>
        <color theme="1"/>
        <rFont val="Calibri"/>
        <family val="2"/>
        <charset val="161"/>
      </rPr>
      <t>≤</t>
    </r>
    <r>
      <rPr>
        <sz val="11"/>
        <color theme="1"/>
        <rFont val="Calibri"/>
        <family val="2"/>
        <charset val="161"/>
        <scheme val="minor"/>
      </rPr>
      <t>600</t>
    </r>
  </si>
  <si>
    <r>
      <t>350&lt;D</t>
    </r>
    <r>
      <rPr>
        <sz val="11"/>
        <color theme="1"/>
        <rFont val="Calibri"/>
        <family val="2"/>
        <charset val="161"/>
      </rPr>
      <t>≤</t>
    </r>
    <r>
      <rPr>
        <sz val="11"/>
        <color theme="1"/>
        <rFont val="Calibri"/>
        <family val="2"/>
        <charset val="161"/>
        <scheme val="minor"/>
      </rPr>
      <t>450</t>
    </r>
  </si>
  <si>
    <r>
      <t>175&lt;D</t>
    </r>
    <r>
      <rPr>
        <sz val="11"/>
        <color theme="1"/>
        <rFont val="Calibri"/>
        <family val="2"/>
        <charset val="161"/>
      </rPr>
      <t>≤</t>
    </r>
    <r>
      <rPr>
        <sz val="11"/>
        <color theme="1"/>
        <rFont val="Calibri"/>
        <family val="2"/>
        <charset val="161"/>
        <scheme val="minor"/>
      </rPr>
      <t>350</t>
    </r>
  </si>
  <si>
    <r>
      <t>125&lt;D</t>
    </r>
    <r>
      <rPr>
        <sz val="11"/>
        <color theme="1"/>
        <rFont val="Calibri"/>
        <family val="2"/>
        <charset val="161"/>
      </rPr>
      <t>≤</t>
    </r>
    <r>
      <rPr>
        <sz val="11"/>
        <color theme="1"/>
        <rFont val="Calibri"/>
        <family val="2"/>
        <charset val="161"/>
        <scheme val="minor"/>
      </rPr>
      <t>175</t>
    </r>
  </si>
  <si>
    <r>
      <t>D</t>
    </r>
    <r>
      <rPr>
        <sz val="11"/>
        <color theme="1"/>
        <rFont val="Calibri"/>
        <family val="2"/>
        <charset val="161"/>
      </rPr>
      <t>≤125</t>
    </r>
  </si>
  <si>
    <r>
      <t xml:space="preserve">Vmax </t>
    </r>
    <r>
      <rPr>
        <sz val="11"/>
        <color theme="1"/>
        <rFont val="Calibri"/>
        <family val="2"/>
        <charset val="161"/>
        <scheme val="minor"/>
      </rPr>
      <t>(m/s)</t>
    </r>
  </si>
  <si>
    <t xml:space="preserve">Vmin </t>
  </si>
  <si>
    <t>Μέγιστο διαθέσιμο ύψος ενέργειας (maxΔΗαπωλ)</t>
  </si>
  <si>
    <t>A (m2)</t>
  </si>
  <si>
    <t>V (m/s)</t>
  </si>
  <si>
    <t>m3/s</t>
  </si>
  <si>
    <t>Περιορισμός ταχύτητας</t>
  </si>
  <si>
    <t>x</t>
  </si>
  <si>
    <t>✓</t>
  </si>
  <si>
    <t>Vmin&lt;V&lt;Vmax</t>
  </si>
  <si>
    <t>Re</t>
  </si>
  <si>
    <t>Re = VD/v</t>
  </si>
  <si>
    <t>v= 10^(-6)</t>
  </si>
  <si>
    <t>ks/D</t>
  </si>
  <si>
    <t>f*</t>
  </si>
  <si>
    <t>*https://www.advdelphisys.com/michael_maley/moody_chart/  (moody)</t>
  </si>
  <si>
    <t>Hf**</t>
  </si>
  <si>
    <t>**Hf = f* L/D * (V^2/2g)</t>
  </si>
  <si>
    <t>570m</t>
  </si>
  <si>
    <t>410m</t>
  </si>
  <si>
    <t>Περιορισμός απωλειών</t>
  </si>
  <si>
    <t>Ηf&lt;ΔH,απωλ.max</t>
  </si>
  <si>
    <t>ks  =</t>
  </si>
  <si>
    <t>mm</t>
  </si>
  <si>
    <t>Εσωτερική διάμετρος D (mm)</t>
  </si>
  <si>
    <t>3) Πρόβλεψη υδραυλικού πλήγματος</t>
  </si>
  <si>
    <t xml:space="preserve">γw = </t>
  </si>
  <si>
    <t>kg/m2</t>
  </si>
  <si>
    <t>ε =</t>
  </si>
  <si>
    <t xml:space="preserve">S = </t>
  </si>
  <si>
    <t>E =</t>
  </si>
  <si>
    <t>kg/m3</t>
  </si>
  <si>
    <t>ή 10 kN/m3;</t>
  </si>
  <si>
    <t>ξmax</t>
  </si>
  <si>
    <t>V</t>
  </si>
  <si>
    <t>Qπηγής =</t>
  </si>
  <si>
    <t>ΟΔ</t>
  </si>
  <si>
    <t>Τμήμα ΠΔ (παροχή πηγής)</t>
  </si>
  <si>
    <t>Qπηγής</t>
  </si>
  <si>
    <t>ΔHαπωλ,max = 15m</t>
  </si>
  <si>
    <t xml:space="preserve">m3/d = </t>
  </si>
  <si>
    <t xml:space="preserve"> </t>
  </si>
  <si>
    <t xml:space="preserve">m3/s = </t>
  </si>
  <si>
    <t>Τμήμα ΔΓ (παροχή γεώτρηση/ καταθλιπτικός αγωγός - υπο πίεση)</t>
  </si>
  <si>
    <t>Η ελάχιστη διάμετρος που ικανοποιεί τους περιορισμόυς στη ταχύτητα και στις απώλειες είναι η Φ140</t>
  </si>
  <si>
    <r>
      <t>Φ140 με πάχος τοιχωμάτων 8,3mm , εσωτερική διάμετρο 123,4mm  και κόστος 15,49</t>
    </r>
    <r>
      <rPr>
        <b/>
        <sz val="11"/>
        <color theme="1"/>
        <rFont val="Calibri"/>
        <family val="2"/>
        <charset val="161"/>
      </rPr>
      <t>€</t>
    </r>
    <r>
      <rPr>
        <b/>
        <sz val="8.8000000000000007"/>
        <color theme="1"/>
        <rFont val="Calibri"/>
        <family val="2"/>
        <charset val="161"/>
      </rPr>
      <t>/m</t>
    </r>
  </si>
  <si>
    <t>Di  (m)</t>
  </si>
  <si>
    <t>α (m/s)</t>
  </si>
  <si>
    <t xml:space="preserve"> = αVo/g </t>
  </si>
  <si>
    <t>Κρίσιμος χρόνος : χρόνος που απαιτείται για τη μεταφορά των κυμάτων υποπίεσης και υπερπίεσης</t>
  </si>
  <si>
    <t>Τκ = 2L/a</t>
  </si>
  <si>
    <t>Tκ (s)</t>
  </si>
  <si>
    <t>L(m)</t>
  </si>
  <si>
    <t>Η μέγιστη υπερπίεση δημιουργείται κατά το απότομο κλείσιμο της δικλείδας, ,δηλ. για t &lt; Tκ</t>
  </si>
  <si>
    <t>(ύψος)</t>
  </si>
  <si>
    <t>ξmax (m)</t>
  </si>
  <si>
    <t>Μέγιστη υπερπίεση ξ λόγω απότομου / ταχέως κλεισίματος δικλείδας, ακριβώς ανάντη της δικλείδας (x=0)</t>
  </si>
  <si>
    <t>Είχαμε προσθέσει 40m extra σε περίπτωση υδραυλικού</t>
  </si>
  <si>
    <t>πλήγματος για να βρούμε τις κλάσεις των αγωγών.</t>
  </si>
  <si>
    <t>Άρα είμαστε οκ (;)</t>
  </si>
  <si>
    <t>Ωρες λειτουργίας αντλίας γεώτρησης κάθε μέρα (H), ξεκινά 16:00</t>
  </si>
  <si>
    <t>εφεδρική αντλητική ισχύς : 20% συνολικής απαιτούμενης</t>
  </si>
  <si>
    <t xml:space="preserve">συντελεστής απόδοσης αντλιών </t>
  </si>
  <si>
    <t>τοπικές απώλειες στο αντλιοστάσιο = 5% μανομετρικού ύψους, min = 3m</t>
  </si>
  <si>
    <t>Η γεώτρηση καλύπτει 60% του συνολικού απαιτούμενου όγκου νερού</t>
  </si>
  <si>
    <t>Χρόνος απόσβ.</t>
  </si>
  <si>
    <t>15 έτη</t>
  </si>
  <si>
    <t>Εξοπλισμός:</t>
  </si>
  <si>
    <t>40 έτη</t>
  </si>
  <si>
    <t>Συνδυαστική διαστασιολόγηση αντλιοστάσιου - καταθλιπτικού αγωγού εξωτερικού υδραγωγείου ΓΔ</t>
  </si>
  <si>
    <t>Για τον καταθλιπτικό αγωγό λαμβάνεται προσεγγιστικά η κλίση της ΓΕ</t>
  </si>
  <si>
    <t>Ημαν = Δz+ΔΗτοπ. + ΔΗf</t>
  </si>
  <si>
    <t>ΔΗτοπ.: τοπικές απώλειες =</t>
  </si>
  <si>
    <t>Δz : υψομετρική διαφορά =</t>
  </si>
  <si>
    <t>ΔHf: γραμμικές απώλειες =</t>
  </si>
  <si>
    <t>Υψόμετρο γεώτρησης [m]</t>
  </si>
  <si>
    <t>Υψόμετρο δεξαμενής ρύθμισης [m]</t>
  </si>
  <si>
    <t xml:space="preserve">230+5-(205-36) = </t>
  </si>
  <si>
    <t>66m</t>
  </si>
  <si>
    <t>13m</t>
  </si>
  <si>
    <t>max{0,05Hμαν. , 3m)</t>
  </si>
  <si>
    <r>
      <t>2%</t>
    </r>
    <r>
      <rPr>
        <sz val="10"/>
        <color theme="1"/>
        <rFont val="Calibri"/>
        <family val="2"/>
        <charset val="161"/>
      </rPr>
      <t xml:space="preserve">×L  = </t>
    </r>
  </si>
  <si>
    <r>
      <rPr>
        <u/>
        <sz val="10"/>
        <color theme="1"/>
        <rFont val="Calibri"/>
        <family val="2"/>
        <charset val="161"/>
        <scheme val="minor"/>
      </rPr>
      <t>Αγωγός</t>
    </r>
    <r>
      <rPr>
        <sz val="10"/>
        <color theme="1"/>
        <rFont val="Calibri"/>
        <family val="2"/>
        <charset val="161"/>
        <scheme val="minor"/>
      </rPr>
      <t>:</t>
    </r>
  </si>
  <si>
    <t>ίση με 2%  (σελ 188). Το μανομετρικό ύψος υπολογίζεται:</t>
  </si>
  <si>
    <t>Άρα Ημαν. = 66 + 0,05Ημαν. + 13 =&gt; 0,95Ημαν. = 79 =&gt;</t>
  </si>
  <si>
    <t xml:space="preserve"> Ημαν.    = </t>
  </si>
  <si>
    <r>
      <t xml:space="preserve">α) Ενδεικτικός υπολογισμός κλάσης αγωγού </t>
    </r>
    <r>
      <rPr>
        <b/>
        <sz val="10"/>
        <color theme="1"/>
        <rFont val="Calibri"/>
        <family val="2"/>
        <charset val="161"/>
        <scheme val="minor"/>
      </rPr>
      <t>(θα ακολουθήσει τελικός έλεγχος)</t>
    </r>
  </si>
  <si>
    <t xml:space="preserve">Σε περίπτωση απότομου κλεισίματος της δικλείδας στη δεξαμενή Γ κατά τη διάρκεια </t>
  </si>
  <si>
    <t>λειτουργίας της αντλίας, το μέγιστο υψόμετρο της πιεζομετρικής γραμμής είναι:</t>
  </si>
  <si>
    <t>maxH = (205-36) + 83 =  252m</t>
  </si>
  <si>
    <t>Άρα το μέγιστο ύψος πιέσεων στον αγωγό είναι:</t>
  </si>
  <si>
    <t>max(P/γ) = maxH - min υψόμετρο = 252 - (205-36) = 83m</t>
  </si>
  <si>
    <t>(μέγιστο φορτίο πίεσης)</t>
  </si>
  <si>
    <t xml:space="preserve">ελάχιστη κλάση = max { [9,81*(83+40)/100] , 10 atm} = </t>
  </si>
  <si>
    <t>12 atm</t>
  </si>
  <si>
    <t xml:space="preserve"> Αγωγός HDPE 12,5 atm</t>
  </si>
  <si>
    <t>β) Υπολογισμός παροχής σχεδιασμού καταθλιπτικού αγωγού</t>
  </si>
  <si>
    <t xml:space="preserve">Qκατ = Qmax,day *24 / ώρες λειτουργίας αντλίας = </t>
  </si>
  <si>
    <t>γ) Υπολογισμός μέσων ετήσιων αναγκών νερού κατά τη λειτουργία του έργου</t>
  </si>
  <si>
    <t>Q_τουριστών</t>
  </si>
  <si>
    <t>Ελάχιστη στάθμη δεξαμενής [m]</t>
  </si>
  <si>
    <t>ΔHαπωλ,max = 21m</t>
  </si>
  <si>
    <t>Qmax,ωρ=</t>
  </si>
  <si>
    <t xml:space="preserve"> Τμήμα ΟΔ (παροχή Qmax,ωρ.)</t>
  </si>
  <si>
    <t xml:space="preserve">ΔΟ: minΔ - maxΟ = (230 +1)-210 = </t>
  </si>
  <si>
    <t>Qκαταθλ.=</t>
  </si>
  <si>
    <t>Hμαν.</t>
  </si>
  <si>
    <t>Ητοπ.</t>
  </si>
  <si>
    <t>Pαπ = γQHμαν/n</t>
  </si>
  <si>
    <t xml:space="preserve">Pαπ </t>
  </si>
  <si>
    <t>Pεγκ.</t>
  </si>
  <si>
    <t>κόστος αγωγού</t>
  </si>
  <si>
    <t>€/m</t>
  </si>
  <si>
    <t>ΚΑΣ</t>
  </si>
  <si>
    <t>€ / kW</t>
  </si>
  <si>
    <t>ΕΚΣΑ</t>
  </si>
  <si>
    <t>Καντλ.</t>
  </si>
  <si>
    <t>ΕΑ</t>
  </si>
  <si>
    <t>Εφ. Δαπάνη αγωγού</t>
  </si>
  <si>
    <t>€</t>
  </si>
  <si>
    <t>Εφ. Δαπάνη αντλιας</t>
  </si>
  <si>
    <t>Τοκ. Αντλιοστ.</t>
  </si>
  <si>
    <t>Τοκ. Αγωγών</t>
  </si>
  <si>
    <t>Συντήρηση αντλ.</t>
  </si>
  <si>
    <t>€/ετος</t>
  </si>
  <si>
    <t>Ετήσια ενεργ αντληση</t>
  </si>
  <si>
    <t>ετήσ. Κοστ. Ανλτησης</t>
  </si>
  <si>
    <t>€ / kWh</t>
  </si>
  <si>
    <t>kWh/ετος</t>
  </si>
  <si>
    <t>Συνολική ετήσια δαπάνη</t>
  </si>
  <si>
    <t>Δαντλίας</t>
  </si>
  <si>
    <t>Δαγωγού</t>
  </si>
  <si>
    <t>Cλειτουργ.</t>
  </si>
  <si>
    <t xml:space="preserve">36,6%/24hr = </t>
  </si>
  <si>
    <t>36,6(%)</t>
  </si>
  <si>
    <t>ή 1,53% ανά hr</t>
  </si>
  <si>
    <t>100-36,6 = 63,4%</t>
  </si>
  <si>
    <t>63,4%/20hr=</t>
  </si>
  <si>
    <t>ή 3,17% ανά hr</t>
  </si>
  <si>
    <t>Qκαταθλ. = 63,4% Qmax,day</t>
  </si>
  <si>
    <t>Qπηγής= 33,6%Qmax,day</t>
  </si>
  <si>
    <t>α</t>
  </si>
  <si>
    <t>Vρύθμισης = {|maxΠερίσσεια|+|maxΕλλειμμα|}*Vmax,day = (0,149+0,1108)*3542m3 =</t>
  </si>
  <si>
    <t>Vασφαλείας = 665m3</t>
  </si>
  <si>
    <r>
      <t>Vωφέλιμο = Vρύθμισης + Vασφαλείας = 934 +665 =1599</t>
    </r>
    <r>
      <rPr>
        <b/>
        <sz val="11"/>
        <color theme="1"/>
        <rFont val="Calibri"/>
        <family val="2"/>
        <charset val="161"/>
      </rPr>
      <t>~</t>
    </r>
    <r>
      <rPr>
        <b/>
        <sz val="11"/>
        <color theme="1"/>
        <rFont val="Calibri"/>
        <family val="2"/>
        <charset val="161"/>
        <scheme val="minor"/>
      </rPr>
      <t xml:space="preserve"> 1600</t>
    </r>
    <r>
      <rPr>
        <b/>
        <sz val="11"/>
        <color theme="1"/>
        <rFont val="Calibri"/>
        <family val="2"/>
        <charset val="161"/>
      </rPr>
      <t>m3</t>
    </r>
  </si>
  <si>
    <r>
      <rPr>
        <b/>
        <sz val="11"/>
        <color theme="1"/>
        <rFont val="Calibri"/>
        <family val="2"/>
        <charset val="161"/>
        <scheme val="minor"/>
      </rPr>
      <t>m2</t>
    </r>
    <r>
      <rPr>
        <sz val="11"/>
        <color theme="1"/>
        <rFont val="Calibri"/>
        <family val="2"/>
        <charset val="161"/>
        <scheme val="minor"/>
      </rPr>
      <t xml:space="preserve"> (= 1600/5)</t>
    </r>
  </si>
  <si>
    <t>Θέλουμε 2* x*y = 320m2 και y/x = 1,33, στο περίπου x = 11m και y = 14,5m</t>
  </si>
  <si>
    <t>Qκατ.</t>
  </si>
  <si>
    <t>ΓΔ</t>
  </si>
  <si>
    <t>Η ελάχιστη διάμετρος που ικανοποιεί τους περιορισμόυς στη ταχύτητα και στις απώλειες είναι η Φ315</t>
  </si>
  <si>
    <r>
      <t>Φ315 με πάχος τοιχωμάτων 18,7mm , εσωτερική διάμετρο 227,6mm  και κόστος 81,18</t>
    </r>
    <r>
      <rPr>
        <b/>
        <sz val="11"/>
        <color theme="1"/>
        <rFont val="Calibri"/>
        <family val="2"/>
        <charset val="161"/>
      </rPr>
      <t>€</t>
    </r>
    <r>
      <rPr>
        <b/>
        <sz val="8.8000000000000007"/>
        <color theme="1"/>
        <rFont val="Calibri"/>
        <family val="2"/>
        <charset val="161"/>
      </rPr>
      <t>/m</t>
    </r>
  </si>
  <si>
    <t>Η  διάμετρος που ικανοποιεί τους περιορισμόυς στη ταχύτητα και επιφέρει το ελάχιστο ετήσιο συνολικό</t>
  </si>
  <si>
    <r>
      <t xml:space="preserve"> κόστος είναι η Φ280 με πάχος τοιχωμάτων 20,6mm εσωτερική διάμετρο 238,8mm και 81,52</t>
    </r>
    <r>
      <rPr>
        <b/>
        <sz val="11"/>
        <color theme="1"/>
        <rFont val="Calibri"/>
        <family val="2"/>
        <charset val="161"/>
      </rPr>
      <t>€</t>
    </r>
    <r>
      <rPr>
        <b/>
        <sz val="7.7"/>
        <color theme="1"/>
        <rFont val="Calibri"/>
        <family val="2"/>
        <charset val="161"/>
      </rPr>
      <t>/m</t>
    </r>
  </si>
  <si>
    <t>συνέχεια στο word</t>
  </si>
  <si>
    <t>πίνακες στο προηγούμενο φύλλο</t>
  </si>
  <si>
    <t>kPa για HDPE</t>
  </si>
  <si>
    <t>το α αναλυτικά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</si>
</sst>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Arial Nova"/>
      <family val="2"/>
    </font>
    <font>
      <i/>
      <sz val="11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1"/>
      <color theme="3" tint="-0.249977111117893"/>
      <name val="Calibri"/>
      <family val="2"/>
      <charset val="161"/>
      <scheme val="minor"/>
    </font>
    <font>
      <sz val="11"/>
      <color theme="3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rgb="FF00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theme="1"/>
      <name val="Arial Nova"/>
      <family val="2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Arial Nova"/>
      <family val="2"/>
    </font>
    <font>
      <b/>
      <sz val="10"/>
      <color theme="1"/>
      <name val="Arial Nova"/>
      <family val="2"/>
    </font>
    <font>
      <b/>
      <u/>
      <sz val="11"/>
      <color theme="1"/>
      <name val="Calibri"/>
      <family val="2"/>
      <charset val="161"/>
      <scheme val="minor"/>
    </font>
    <font>
      <b/>
      <sz val="10"/>
      <color theme="1"/>
      <name val="Arial Nova"/>
      <family val="2"/>
      <charset val="161"/>
    </font>
    <font>
      <u/>
      <sz val="11"/>
      <color theme="1"/>
      <name val="Calibri"/>
      <family val="2"/>
      <charset val="161"/>
      <scheme val="minor"/>
    </font>
    <font>
      <sz val="11"/>
      <color theme="9"/>
      <name val="Calibri"/>
      <family val="2"/>
      <charset val="161"/>
      <scheme val="minor"/>
    </font>
    <font>
      <b/>
      <sz val="11"/>
      <color theme="9"/>
      <name val="Calibri"/>
      <family val="2"/>
      <charset val="161"/>
      <scheme val="minor"/>
    </font>
    <font>
      <b/>
      <sz val="8.8000000000000007"/>
      <color theme="1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b/>
      <u/>
      <sz val="10"/>
      <color theme="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b/>
      <sz val="7.7"/>
      <color theme="1"/>
      <name val="Calibri"/>
      <family val="2"/>
      <charset val="161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233">
    <xf numFmtId="0" fontId="0" fillId="0" borderId="0" xfId="0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/>
    <xf numFmtId="0" fontId="1" fillId="6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11" borderId="6" xfId="0" applyFont="1" applyFill="1" applyBorder="1" applyAlignment="1">
      <alignment horizontal="center"/>
    </xf>
    <xf numFmtId="0" fontId="6" fillId="12" borderId="1" xfId="0" applyFont="1" applyFill="1" applyBorder="1"/>
    <xf numFmtId="0" fontId="6" fillId="12" borderId="1" xfId="0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1" fontId="1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17" fillId="0" borderId="7" xfId="0" applyNumberFormat="1" applyFont="1" applyBorder="1" applyAlignment="1">
      <alignment horizontal="center"/>
    </xf>
    <xf numFmtId="9" fontId="17" fillId="0" borderId="1" xfId="1" applyFont="1" applyBorder="1" applyAlignment="1">
      <alignment horizontal="center"/>
    </xf>
    <xf numFmtId="0" fontId="5" fillId="0" borderId="0" xfId="0" applyFont="1"/>
    <xf numFmtId="1" fontId="20" fillId="0" borderId="1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0" borderId="2" xfId="0" applyBorder="1"/>
    <xf numFmtId="0" fontId="0" fillId="0" borderId="0" xfId="0" applyBorder="1"/>
    <xf numFmtId="0" fontId="0" fillId="0" borderId="13" xfId="0" applyBorder="1"/>
    <xf numFmtId="0" fontId="0" fillId="0" borderId="0" xfId="0" applyBorder="1" applyAlignment="1"/>
    <xf numFmtId="0" fontId="0" fillId="0" borderId="9" xfId="0" applyBorder="1"/>
    <xf numFmtId="0" fontId="0" fillId="0" borderId="10" xfId="0" applyBorder="1"/>
    <xf numFmtId="0" fontId="6" fillId="0" borderId="13" xfId="0" applyFont="1" applyBorder="1"/>
    <xf numFmtId="0" fontId="3" fillId="0" borderId="0" xfId="0" applyFont="1" applyBorder="1"/>
    <xf numFmtId="0" fontId="0" fillId="0" borderId="3" xfId="0" applyBorder="1"/>
    <xf numFmtId="9" fontId="0" fillId="0" borderId="3" xfId="0" applyNumberFormat="1" applyBorder="1"/>
    <xf numFmtId="0" fontId="0" fillId="0" borderId="12" xfId="0" applyBorder="1"/>
    <xf numFmtId="0" fontId="3" fillId="0" borderId="9" xfId="0" applyFont="1" applyBorder="1"/>
    <xf numFmtId="0" fontId="3" fillId="0" borderId="2" xfId="0" applyFont="1" applyBorder="1" applyAlignment="1"/>
    <xf numFmtId="0" fontId="3" fillId="0" borderId="0" xfId="0" applyFont="1" applyBorder="1" applyAlignment="1"/>
    <xf numFmtId="0" fontId="18" fillId="13" borderId="7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3" fillId="15" borderId="1" xfId="0" applyFont="1" applyFill="1" applyBorder="1"/>
    <xf numFmtId="0" fontId="3" fillId="15" borderId="1" xfId="0" applyFont="1" applyFill="1" applyBorder="1" applyAlignment="1">
      <alignment horizontal="center"/>
    </xf>
    <xf numFmtId="0" fontId="5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0" fillId="11" borderId="1" xfId="0" applyFill="1" applyBorder="1"/>
    <xf numFmtId="0" fontId="0" fillId="11" borderId="1" xfId="0" applyFont="1" applyFill="1" applyBorder="1"/>
    <xf numFmtId="0" fontId="0" fillId="11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3" fillId="13" borderId="1" xfId="0" applyFont="1" applyFill="1" applyBorder="1"/>
    <xf numFmtId="0" fontId="3" fillId="13" borderId="1" xfId="0" applyFont="1" applyFill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" fontId="25" fillId="0" borderId="7" xfId="0" applyNumberFormat="1" applyFont="1" applyBorder="1" applyAlignment="1">
      <alignment horizontal="center"/>
    </xf>
    <xf numFmtId="9" fontId="25" fillId="0" borderId="1" xfId="1" applyFont="1" applyBorder="1" applyAlignment="1">
      <alignment horizontal="center"/>
    </xf>
    <xf numFmtId="0" fontId="25" fillId="0" borderId="0" xfId="0" applyFont="1"/>
    <xf numFmtId="0" fontId="25" fillId="0" borderId="2" xfId="0" applyFont="1" applyBorder="1"/>
    <xf numFmtId="0" fontId="25" fillId="0" borderId="0" xfId="0" applyFont="1" applyBorder="1"/>
    <xf numFmtId="0" fontId="25" fillId="0" borderId="8" xfId="0" applyFont="1" applyBorder="1"/>
    <xf numFmtId="0" fontId="16" fillId="0" borderId="9" xfId="0" applyFont="1" applyBorder="1" applyAlignment="1"/>
    <xf numFmtId="0" fontId="16" fillId="0" borderId="9" xfId="0" applyFont="1" applyBorder="1"/>
    <xf numFmtId="0" fontId="3" fillId="0" borderId="10" xfId="0" applyFont="1" applyBorder="1"/>
    <xf numFmtId="0" fontId="0" fillId="0" borderId="8" xfId="0" applyBorder="1"/>
    <xf numFmtId="0" fontId="16" fillId="0" borderId="7" xfId="0" applyFont="1" applyBorder="1" applyAlignment="1">
      <alignment horizontal="center"/>
    </xf>
    <xf numFmtId="0" fontId="9" fillId="0" borderId="0" xfId="0" applyFont="1"/>
    <xf numFmtId="0" fontId="3" fillId="17" borderId="1" xfId="0" applyFont="1" applyFill="1" applyBorder="1"/>
    <xf numFmtId="0" fontId="3" fillId="17" borderId="1" xfId="0" applyFont="1" applyFill="1" applyBorder="1" applyAlignment="1">
      <alignment horizontal="center"/>
    </xf>
    <xf numFmtId="0" fontId="6" fillId="3" borderId="4" xfId="0" applyFont="1" applyFill="1" applyBorder="1"/>
    <xf numFmtId="0" fontId="6" fillId="3" borderId="5" xfId="0" applyFont="1" applyFill="1" applyBorder="1"/>
    <xf numFmtId="0" fontId="6" fillId="3" borderId="8" xfId="0" applyFont="1" applyFill="1" applyBorder="1"/>
    <xf numFmtId="0" fontId="6" fillId="3" borderId="9" xfId="0" applyFont="1" applyFill="1" applyBorder="1"/>
    <xf numFmtId="0" fontId="30" fillId="0" borderId="13" xfId="0" applyFont="1" applyBorder="1"/>
    <xf numFmtId="0" fontId="3" fillId="0" borderId="1" xfId="0" applyFont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0" fontId="6" fillId="12" borderId="6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14" borderId="11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12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17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0" borderId="0" xfId="0" applyFont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3" fillId="17" borderId="1" xfId="0" applyFont="1" applyFill="1" applyBorder="1" applyAlignment="1">
      <alignment horizontal="center"/>
    </xf>
    <xf numFmtId="0" fontId="0" fillId="11" borderId="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3" fillId="15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3" fillId="15" borderId="4" xfId="0" applyFont="1" applyFill="1" applyBorder="1" applyAlignment="1">
      <alignment horizontal="center"/>
    </xf>
    <xf numFmtId="0" fontId="23" fillId="15" borderId="5" xfId="0" applyFont="1" applyFill="1" applyBorder="1" applyAlignment="1">
      <alignment horizontal="center"/>
    </xf>
    <xf numFmtId="0" fontId="23" fillId="15" borderId="6" xfId="0" applyFont="1" applyFill="1" applyBorder="1" applyAlignment="1">
      <alignment horizontal="center"/>
    </xf>
    <xf numFmtId="0" fontId="22" fillId="11" borderId="4" xfId="0" applyFont="1" applyFill="1" applyBorder="1" applyAlignment="1">
      <alignment horizontal="center"/>
    </xf>
    <xf numFmtId="0" fontId="22" fillId="11" borderId="5" xfId="0" applyFont="1" applyFill="1" applyBorder="1" applyAlignment="1">
      <alignment horizontal="center"/>
    </xf>
    <xf numFmtId="0" fontId="22" fillId="11" borderId="6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5" borderId="11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5" fillId="0" borderId="0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6" fillId="13" borderId="1" xfId="0" applyFont="1" applyFill="1" applyBorder="1" applyAlignment="1">
      <alignment horizontal="center"/>
    </xf>
    <xf numFmtId="0" fontId="16" fillId="13" borderId="4" xfId="0" applyFont="1" applyFill="1" applyBorder="1" applyAlignment="1">
      <alignment horizontal="center"/>
    </xf>
    <xf numFmtId="0" fontId="16" fillId="13" borderId="5" xfId="0" applyFont="1" applyFill="1" applyBorder="1" applyAlignment="1">
      <alignment horizontal="center"/>
    </xf>
    <xf numFmtId="0" fontId="16" fillId="13" borderId="6" xfId="0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6" fillId="0" borderId="1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15" fillId="6" borderId="0" xfId="0" applyFont="1" applyFill="1" applyBorder="1" applyAlignment="1">
      <alignment horizontal="center"/>
    </xf>
    <xf numFmtId="0" fontId="15" fillId="6" borderId="13" xfId="0" applyFont="1" applyFill="1" applyBorder="1" applyAlignment="1">
      <alignment horizontal="center"/>
    </xf>
    <xf numFmtId="0" fontId="28" fillId="9" borderId="0" xfId="0" applyFont="1" applyFill="1" applyAlignment="1">
      <alignment horizontal="center"/>
    </xf>
    <xf numFmtId="0" fontId="29" fillId="2" borderId="9" xfId="0" applyFont="1" applyFill="1" applyBorder="1" applyAlignment="1">
      <alignment horizontal="center"/>
    </xf>
  </cellXfs>
  <cellStyles count="2"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emf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7</xdr:row>
      <xdr:rowOff>91440</xdr:rowOff>
    </xdr:from>
    <xdr:to>
      <xdr:col>12</xdr:col>
      <xdr:colOff>504824</xdr:colOff>
      <xdr:row>19</xdr:row>
      <xdr:rowOff>121920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6308CBD0-CB90-4896-A4A6-A3E1AFFE8E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93" t="56677" r="12071" b="-1"/>
        <a:stretch/>
      </xdr:blipFill>
      <xdr:spPr bwMode="auto">
        <a:xfrm>
          <a:off x="5638799" y="1358265"/>
          <a:ext cx="5991225" cy="220218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53069</xdr:colOff>
      <xdr:row>1</xdr:row>
      <xdr:rowOff>83002</xdr:rowOff>
    </xdr:from>
    <xdr:to>
      <xdr:col>23</xdr:col>
      <xdr:colOff>598714</xdr:colOff>
      <xdr:row>14</xdr:row>
      <xdr:rowOff>35377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69CADECC-ABCA-4D82-A66B-78882761BA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" t="37807" r="18260" b="16446"/>
        <a:stretch/>
      </xdr:blipFill>
      <xdr:spPr>
        <a:xfrm>
          <a:off x="12397469" y="268059"/>
          <a:ext cx="6032045" cy="235811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377825</xdr:colOff>
      <xdr:row>0</xdr:row>
      <xdr:rowOff>177799</xdr:rowOff>
    </xdr:from>
    <xdr:to>
      <xdr:col>31</xdr:col>
      <xdr:colOff>387350</xdr:colOff>
      <xdr:row>24</xdr:row>
      <xdr:rowOff>101599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356AFF83-7841-41A1-93BC-431939AD29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1" t="23116" r="65333" b="8496"/>
        <a:stretch/>
      </xdr:blipFill>
      <xdr:spPr>
        <a:xfrm>
          <a:off x="15770225" y="177799"/>
          <a:ext cx="3667125" cy="4191000"/>
        </a:xfrm>
        <a:prstGeom prst="rect">
          <a:avLst/>
        </a:prstGeom>
      </xdr:spPr>
    </xdr:pic>
    <xdr:clientData/>
  </xdr:twoCellAnchor>
  <xdr:twoCellAnchor editAs="oneCell">
    <xdr:from>
      <xdr:col>22</xdr:col>
      <xdr:colOff>25400</xdr:colOff>
      <xdr:row>31</xdr:row>
      <xdr:rowOff>9525</xdr:rowOff>
    </xdr:from>
    <xdr:to>
      <xdr:col>31</xdr:col>
      <xdr:colOff>530225</xdr:colOff>
      <xdr:row>43</xdr:row>
      <xdr:rowOff>40005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D9702171-459A-46A5-814B-75725ED9D9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93" t="56677" r="12071" b="-1"/>
        <a:stretch/>
      </xdr:blipFill>
      <xdr:spPr bwMode="auto">
        <a:xfrm>
          <a:off x="13589000" y="5521325"/>
          <a:ext cx="5991225" cy="216408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50800</xdr:colOff>
      <xdr:row>0</xdr:row>
      <xdr:rowOff>0</xdr:rowOff>
    </xdr:from>
    <xdr:to>
      <xdr:col>25</xdr:col>
      <xdr:colOff>403225</xdr:colOff>
      <xdr:row>10</xdr:row>
      <xdr:rowOff>158750</xdr:rowOff>
    </xdr:to>
    <xdr:pic>
      <xdr:nvPicPr>
        <xdr:cNvPr id="8" name="Εικόνα 7">
          <a:extLst>
            <a:ext uri="{FF2B5EF4-FFF2-40B4-BE49-F238E27FC236}">
              <a16:creationId xmlns:a16="http://schemas.microsoft.com/office/drawing/2014/main" id="{B794EE33-AB4E-426C-A2EC-39CD3A07F7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10" t="22658" r="28554" b="16340"/>
        <a:stretch/>
      </xdr:blipFill>
      <xdr:spPr>
        <a:xfrm>
          <a:off x="11176000" y="0"/>
          <a:ext cx="4619625" cy="1936750"/>
        </a:xfrm>
        <a:prstGeom prst="rect">
          <a:avLst/>
        </a:prstGeom>
      </xdr:spPr>
    </xdr:pic>
    <xdr:clientData/>
  </xdr:twoCellAnchor>
  <xdr:twoCellAnchor editAs="oneCell">
    <xdr:from>
      <xdr:col>31</xdr:col>
      <xdr:colOff>584564</xdr:colOff>
      <xdr:row>1</xdr:row>
      <xdr:rowOff>62228</xdr:rowOff>
    </xdr:from>
    <xdr:to>
      <xdr:col>38</xdr:col>
      <xdr:colOff>51164</xdr:colOff>
      <xdr:row>29</xdr:row>
      <xdr:rowOff>111577</xdr:rowOff>
    </xdr:to>
    <xdr:pic>
      <xdr:nvPicPr>
        <xdr:cNvPr id="9" name="Εικόνα 8">
          <a:extLst>
            <a:ext uri="{FF2B5EF4-FFF2-40B4-BE49-F238E27FC236}">
              <a16:creationId xmlns:a16="http://schemas.microsoft.com/office/drawing/2014/main" id="{65BE1C46-CCA8-4294-97F3-D2AB6A36E5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4" b="696"/>
        <a:stretch/>
      </xdr:blipFill>
      <xdr:spPr bwMode="auto">
        <a:xfrm>
          <a:off x="19634564" y="240028"/>
          <a:ext cx="3733800" cy="50277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0F1BC-89AB-4C36-ABD1-92BD352061F1}">
  <dimension ref="A1:Q42"/>
  <sheetViews>
    <sheetView topLeftCell="A6" zoomScale="90" zoomScaleNormal="90" workbookViewId="0">
      <selection activeCell="A39" sqref="A39"/>
    </sheetView>
  </sheetViews>
  <sheetFormatPr defaultRowHeight="14.4" x14ac:dyDescent="0.3"/>
  <cols>
    <col min="1" max="1" width="61.5546875" bestFit="1" customWidth="1"/>
    <col min="2" max="2" width="6" bestFit="1" customWidth="1"/>
    <col min="16" max="16" width="11.109375" bestFit="1" customWidth="1"/>
  </cols>
  <sheetData>
    <row r="1" spans="1:17" x14ac:dyDescent="0.3">
      <c r="A1" s="8" t="s">
        <v>19</v>
      </c>
      <c r="B1" s="7"/>
      <c r="D1" s="130" t="s">
        <v>20</v>
      </c>
      <c r="E1" s="130"/>
      <c r="F1" s="130"/>
      <c r="G1" s="130"/>
      <c r="H1" t="s">
        <v>23</v>
      </c>
    </row>
    <row r="2" spans="1:17" ht="15.6" x14ac:dyDescent="0.3">
      <c r="A2" s="9" t="s">
        <v>0</v>
      </c>
      <c r="B2" s="1">
        <v>5478</v>
      </c>
      <c r="D2" s="131" t="s">
        <v>21</v>
      </c>
      <c r="E2" s="131"/>
      <c r="F2" s="131"/>
      <c r="G2" s="131"/>
      <c r="H2" s="131"/>
      <c r="I2" s="131"/>
      <c r="J2" s="131"/>
      <c r="K2" s="132" t="s">
        <v>22</v>
      </c>
      <c r="L2" s="133"/>
    </row>
    <row r="3" spans="1:17" ht="15.6" x14ac:dyDescent="0.3">
      <c r="A3" s="9" t="s">
        <v>1</v>
      </c>
      <c r="B3" s="1">
        <v>2700</v>
      </c>
      <c r="D3" s="113" t="s">
        <v>24</v>
      </c>
      <c r="E3" s="113"/>
      <c r="F3" s="14">
        <f>B2*(1+0.011)^40</f>
        <v>8485.3205157967568</v>
      </c>
      <c r="H3" s="113" t="s">
        <v>25</v>
      </c>
      <c r="I3" s="113"/>
      <c r="J3" s="14">
        <f>B3*(1+0.011)^40</f>
        <v>4182.2499804036588</v>
      </c>
    </row>
    <row r="4" spans="1:17" ht="15.6" x14ac:dyDescent="0.3">
      <c r="A4" s="9" t="s">
        <v>2</v>
      </c>
      <c r="B4" s="2">
        <v>1.1000000000000001</v>
      </c>
    </row>
    <row r="5" spans="1:17" ht="15.6" x14ac:dyDescent="0.3">
      <c r="A5" s="10" t="s">
        <v>3</v>
      </c>
      <c r="B5" s="1">
        <v>3</v>
      </c>
      <c r="J5" s="125" t="s">
        <v>35</v>
      </c>
      <c r="K5" s="125"/>
      <c r="L5" s="125"/>
      <c r="M5" s="125"/>
      <c r="N5" s="120" t="s">
        <v>63</v>
      </c>
      <c r="O5" s="121"/>
      <c r="P5" s="121"/>
      <c r="Q5" s="121"/>
    </row>
    <row r="6" spans="1:17" ht="15.6" x14ac:dyDescent="0.3">
      <c r="A6" s="10" t="s">
        <v>4</v>
      </c>
      <c r="B6" s="1">
        <v>300</v>
      </c>
      <c r="D6" s="134" t="s">
        <v>29</v>
      </c>
      <c r="E6" s="135"/>
      <c r="F6" s="135"/>
      <c r="G6" s="135"/>
      <c r="H6" s="135"/>
      <c r="I6" s="136"/>
      <c r="J6" s="113" t="s">
        <v>34</v>
      </c>
      <c r="K6" s="113"/>
      <c r="L6" s="113" t="s">
        <v>36</v>
      </c>
      <c r="M6" s="113"/>
      <c r="N6" s="120" t="s">
        <v>64</v>
      </c>
      <c r="O6" s="121"/>
      <c r="P6" s="121"/>
      <c r="Q6" s="121"/>
    </row>
    <row r="7" spans="1:17" ht="15.6" x14ac:dyDescent="0.3">
      <c r="A7" s="10" t="s">
        <v>5</v>
      </c>
      <c r="B7" s="1">
        <v>3</v>
      </c>
      <c r="D7" s="113" t="s">
        <v>26</v>
      </c>
      <c r="E7" s="113"/>
      <c r="F7" s="16">
        <f>F3*B9</f>
        <v>1272798.0773695135</v>
      </c>
      <c r="G7" s="16" t="s">
        <v>27</v>
      </c>
      <c r="H7" s="16">
        <f>F7/(24*60*60)</f>
        <v>14.731459228813813</v>
      </c>
      <c r="I7" s="16" t="s">
        <v>32</v>
      </c>
      <c r="J7" s="128">
        <v>1.5</v>
      </c>
      <c r="K7" s="129">
        <v>1.5</v>
      </c>
      <c r="L7" s="128">
        <v>2</v>
      </c>
      <c r="M7" s="129">
        <v>2</v>
      </c>
    </row>
    <row r="8" spans="1:17" ht="15.6" x14ac:dyDescent="0.3">
      <c r="A8" s="10" t="s">
        <v>6</v>
      </c>
      <c r="B8" s="1">
        <v>100</v>
      </c>
      <c r="D8" s="113" t="s">
        <v>28</v>
      </c>
      <c r="E8" s="113"/>
      <c r="F8" s="16">
        <f>J3*B10</f>
        <v>836449.99608073174</v>
      </c>
      <c r="G8" s="16" t="s">
        <v>27</v>
      </c>
      <c r="H8" s="16">
        <f t="shared" ref="H8:H11" si="0">F8/(24*60*60)</f>
        <v>9.6811342138973586</v>
      </c>
      <c r="I8" s="16" t="s">
        <v>32</v>
      </c>
      <c r="J8" s="128">
        <v>1.2</v>
      </c>
      <c r="K8" s="129">
        <v>1.2</v>
      </c>
      <c r="L8" s="124">
        <v>1.5</v>
      </c>
      <c r="M8" s="124">
        <v>1.5</v>
      </c>
    </row>
    <row r="9" spans="1:17" ht="15.6" x14ac:dyDescent="0.3">
      <c r="A9" s="11" t="s">
        <v>7</v>
      </c>
      <c r="B9" s="1">
        <v>150</v>
      </c>
      <c r="D9" s="113" t="s">
        <v>33</v>
      </c>
      <c r="E9" s="113"/>
      <c r="F9" s="16">
        <f>B5*B6*B11+B7*B8*B11</f>
        <v>360000</v>
      </c>
      <c r="G9" s="16" t="s">
        <v>27</v>
      </c>
      <c r="H9" s="16">
        <f t="shared" si="0"/>
        <v>4.166666666666667</v>
      </c>
      <c r="I9" s="16" t="s">
        <v>32</v>
      </c>
      <c r="J9" s="128">
        <v>1.1000000000000001</v>
      </c>
      <c r="K9" s="129">
        <v>1.1000000000000001</v>
      </c>
      <c r="L9" s="124">
        <v>1.5</v>
      </c>
      <c r="M9" s="124">
        <v>1.5</v>
      </c>
    </row>
    <row r="10" spans="1:17" ht="15.6" x14ac:dyDescent="0.3">
      <c r="A10" s="11" t="s">
        <v>8</v>
      </c>
      <c r="B10" s="1">
        <v>200</v>
      </c>
      <c r="D10" s="113" t="s">
        <v>30</v>
      </c>
      <c r="E10" s="113"/>
      <c r="F10" s="16">
        <f>B12*1000</f>
        <v>214000</v>
      </c>
      <c r="G10" s="16" t="s">
        <v>27</v>
      </c>
      <c r="H10" s="16">
        <f t="shared" si="0"/>
        <v>2.4768518518518516</v>
      </c>
      <c r="I10" s="16" t="s">
        <v>32</v>
      </c>
      <c r="J10" s="128">
        <v>1</v>
      </c>
      <c r="K10" s="129">
        <v>1</v>
      </c>
      <c r="L10" s="124" t="s">
        <v>75</v>
      </c>
      <c r="M10" s="124">
        <v>2.4</v>
      </c>
    </row>
    <row r="11" spans="1:17" ht="15.6" x14ac:dyDescent="0.3">
      <c r="A11" s="11" t="s">
        <v>9</v>
      </c>
      <c r="B11" s="1">
        <v>300</v>
      </c>
      <c r="D11" s="113" t="s">
        <v>31</v>
      </c>
      <c r="E11" s="113"/>
      <c r="F11" s="16">
        <f>B14*1000</f>
        <v>127000</v>
      </c>
      <c r="G11" s="16" t="s">
        <v>27</v>
      </c>
      <c r="H11" s="16">
        <f t="shared" si="0"/>
        <v>1.4699074074074074</v>
      </c>
      <c r="I11" s="16" t="s">
        <v>32</v>
      </c>
      <c r="J11" s="128">
        <v>1</v>
      </c>
      <c r="K11" s="129">
        <v>1</v>
      </c>
      <c r="L11" s="124" t="s">
        <v>37</v>
      </c>
      <c r="M11" s="124">
        <v>1</v>
      </c>
    </row>
    <row r="12" spans="1:17" ht="15.6" x14ac:dyDescent="0.3">
      <c r="A12" s="11" t="s">
        <v>16</v>
      </c>
      <c r="B12" s="3">
        <v>214</v>
      </c>
      <c r="D12" s="126" t="s">
        <v>38</v>
      </c>
      <c r="E12" s="127"/>
      <c r="F12" s="127"/>
      <c r="G12" s="127"/>
      <c r="H12" s="127"/>
    </row>
    <row r="13" spans="1:17" ht="15.6" x14ac:dyDescent="0.3">
      <c r="A13" s="7" t="s">
        <v>17</v>
      </c>
      <c r="B13" s="3">
        <v>14</v>
      </c>
    </row>
    <row r="14" spans="1:17" ht="15.6" x14ac:dyDescent="0.3">
      <c r="A14" s="11" t="s">
        <v>18</v>
      </c>
      <c r="B14" s="3">
        <v>127</v>
      </c>
      <c r="D14" s="123" t="s">
        <v>39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</row>
    <row r="15" spans="1:17" ht="15.6" x14ac:dyDescent="0.3">
      <c r="A15" s="7" t="s">
        <v>10</v>
      </c>
      <c r="B15" s="33">
        <v>1270</v>
      </c>
      <c r="D15" s="21" t="s">
        <v>46</v>
      </c>
      <c r="E15" s="122" t="s">
        <v>50</v>
      </c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</row>
    <row r="16" spans="1:17" ht="15.6" x14ac:dyDescent="0.3">
      <c r="A16" s="7" t="s">
        <v>11</v>
      </c>
      <c r="B16" s="33">
        <v>5</v>
      </c>
      <c r="J16" s="19" t="s">
        <v>47</v>
      </c>
      <c r="K16" s="19" t="s">
        <v>47</v>
      </c>
      <c r="L16" s="19" t="s">
        <v>47</v>
      </c>
      <c r="M16" s="19" t="s">
        <v>47</v>
      </c>
      <c r="N16" s="20" t="s">
        <v>48</v>
      </c>
    </row>
    <row r="17" spans="1:16" ht="15.6" x14ac:dyDescent="0.3">
      <c r="A17" s="7" t="s">
        <v>12</v>
      </c>
      <c r="B17" s="34">
        <v>20</v>
      </c>
      <c r="D17" s="14" t="s">
        <v>40</v>
      </c>
      <c r="E17" s="16">
        <v>1</v>
      </c>
      <c r="F17" s="16">
        <v>2</v>
      </c>
      <c r="G17" s="16">
        <v>3</v>
      </c>
      <c r="H17" s="16">
        <v>4</v>
      </c>
      <c r="I17" s="16">
        <v>5</v>
      </c>
      <c r="J17" s="17">
        <v>6</v>
      </c>
      <c r="K17" s="17">
        <v>7</v>
      </c>
      <c r="L17" s="17">
        <v>8</v>
      </c>
      <c r="M17" s="17">
        <v>9</v>
      </c>
      <c r="N17" s="18">
        <v>10</v>
      </c>
      <c r="O17" s="16">
        <v>11</v>
      </c>
      <c r="P17" s="16">
        <v>12</v>
      </c>
    </row>
    <row r="18" spans="1:16" ht="15.6" x14ac:dyDescent="0.3">
      <c r="A18" s="7" t="s">
        <v>13</v>
      </c>
      <c r="B18" s="33">
        <v>570</v>
      </c>
      <c r="D18" s="14" t="s">
        <v>41</v>
      </c>
      <c r="E18" s="16" t="s">
        <v>42</v>
      </c>
      <c r="F18" s="16" t="s">
        <v>42</v>
      </c>
      <c r="G18" s="16" t="s">
        <v>42</v>
      </c>
      <c r="H18" s="16" t="s">
        <v>42</v>
      </c>
      <c r="I18" s="16" t="s">
        <v>42</v>
      </c>
      <c r="J18" s="17" t="s">
        <v>42</v>
      </c>
      <c r="K18" s="17" t="s">
        <v>42</v>
      </c>
      <c r="L18" s="17" t="s">
        <v>42</v>
      </c>
      <c r="M18" s="17" t="s">
        <v>42</v>
      </c>
      <c r="N18" s="18" t="s">
        <v>42</v>
      </c>
      <c r="O18" s="16" t="s">
        <v>42</v>
      </c>
      <c r="P18" s="16" t="s">
        <v>42</v>
      </c>
    </row>
    <row r="19" spans="1:16" ht="15.6" x14ac:dyDescent="0.3">
      <c r="A19" s="7" t="s">
        <v>14</v>
      </c>
      <c r="B19" s="33">
        <v>650</v>
      </c>
      <c r="D19" s="14" t="s">
        <v>70</v>
      </c>
      <c r="E19" s="16"/>
      <c r="F19" s="16"/>
      <c r="G19" s="16"/>
      <c r="H19" s="16"/>
      <c r="I19" s="16"/>
      <c r="J19" s="17" t="s">
        <v>42</v>
      </c>
      <c r="K19" s="17" t="s">
        <v>42</v>
      </c>
      <c r="L19" s="17" t="s">
        <v>42</v>
      </c>
      <c r="M19" s="17" t="s">
        <v>42</v>
      </c>
      <c r="N19" s="18"/>
      <c r="O19" s="16"/>
      <c r="P19" s="16"/>
    </row>
    <row r="20" spans="1:16" ht="15.6" x14ac:dyDescent="0.3">
      <c r="A20" s="7" t="s">
        <v>15</v>
      </c>
      <c r="B20" s="33">
        <v>410</v>
      </c>
      <c r="D20" s="14" t="s">
        <v>43</v>
      </c>
      <c r="E20" s="16">
        <v>0</v>
      </c>
      <c r="F20" s="16">
        <v>0</v>
      </c>
      <c r="G20" s="16">
        <v>20</v>
      </c>
      <c r="H20" s="16">
        <v>45</v>
      </c>
      <c r="I20" s="16">
        <v>85</v>
      </c>
      <c r="J20" s="17">
        <v>100</v>
      </c>
      <c r="K20" s="17">
        <v>100</v>
      </c>
      <c r="L20" s="17">
        <v>100</v>
      </c>
      <c r="M20" s="17">
        <v>100</v>
      </c>
      <c r="N20" s="18">
        <v>90</v>
      </c>
      <c r="O20" s="16">
        <v>60</v>
      </c>
      <c r="P20" s="16">
        <v>0</v>
      </c>
    </row>
    <row r="21" spans="1:16" x14ac:dyDescent="0.3">
      <c r="D21" s="14" t="s">
        <v>44</v>
      </c>
      <c r="E21" s="16" t="s">
        <v>42</v>
      </c>
      <c r="F21" s="16" t="s">
        <v>42</v>
      </c>
      <c r="G21" s="16" t="s">
        <v>42</v>
      </c>
      <c r="H21" s="16" t="s">
        <v>42</v>
      </c>
      <c r="I21" s="16" t="s">
        <v>42</v>
      </c>
      <c r="J21" s="17" t="s">
        <v>42</v>
      </c>
      <c r="K21" s="17" t="s">
        <v>42</v>
      </c>
      <c r="L21" s="17" t="s">
        <v>42</v>
      </c>
      <c r="M21" s="17" t="s">
        <v>42</v>
      </c>
      <c r="N21" s="18" t="s">
        <v>42</v>
      </c>
      <c r="O21" s="16" t="s">
        <v>42</v>
      </c>
      <c r="P21" s="16" t="s">
        <v>42</v>
      </c>
    </row>
    <row r="22" spans="1:16" x14ac:dyDescent="0.3">
      <c r="D22" s="14" t="s">
        <v>45</v>
      </c>
      <c r="E22" s="16" t="s">
        <v>42</v>
      </c>
      <c r="F22" s="16"/>
      <c r="G22" s="16"/>
      <c r="H22" s="16"/>
      <c r="I22" s="16"/>
      <c r="J22" s="17"/>
      <c r="K22" s="17"/>
      <c r="L22" s="17"/>
      <c r="M22" s="17"/>
      <c r="N22" s="18" t="s">
        <v>42</v>
      </c>
      <c r="O22" s="16" t="s">
        <v>42</v>
      </c>
      <c r="P22" s="16" t="s">
        <v>42</v>
      </c>
    </row>
    <row r="24" spans="1:16" x14ac:dyDescent="0.3">
      <c r="D24" s="13" t="s">
        <v>49</v>
      </c>
      <c r="E24" s="13"/>
      <c r="F24" s="13"/>
      <c r="G24" s="13"/>
      <c r="H24" s="13"/>
      <c r="I24" s="13"/>
    </row>
    <row r="25" spans="1:16" x14ac:dyDescent="0.3">
      <c r="D25" s="5" t="s">
        <v>51</v>
      </c>
      <c r="E25" s="13" t="s">
        <v>54</v>
      </c>
      <c r="F25" s="13"/>
      <c r="G25" s="13"/>
      <c r="H25" s="13"/>
      <c r="I25" s="13"/>
    </row>
    <row r="26" spans="1:16" x14ac:dyDescent="0.3">
      <c r="D26" s="5" t="s">
        <v>52</v>
      </c>
      <c r="E26" s="13" t="s">
        <v>53</v>
      </c>
      <c r="F26" s="13"/>
      <c r="G26" s="13"/>
      <c r="H26" s="13"/>
      <c r="I26" s="13"/>
    </row>
    <row r="28" spans="1:16" x14ac:dyDescent="0.3">
      <c r="D28" s="21" t="s">
        <v>55</v>
      </c>
      <c r="E28" s="122" t="s">
        <v>56</v>
      </c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</row>
    <row r="30" spans="1:16" x14ac:dyDescent="0.3">
      <c r="H30" s="113" t="s">
        <v>57</v>
      </c>
      <c r="I30" s="113"/>
      <c r="K30" s="113" t="s">
        <v>58</v>
      </c>
      <c r="L30" s="113"/>
      <c r="N30" t="s">
        <v>68</v>
      </c>
    </row>
    <row r="31" spans="1:16" x14ac:dyDescent="0.3">
      <c r="D31" s="113" t="s">
        <v>65</v>
      </c>
      <c r="E31" s="113"/>
      <c r="F31" s="24" t="s">
        <v>27</v>
      </c>
      <c r="G31" s="4" t="s">
        <v>59</v>
      </c>
      <c r="H31" s="26" t="s">
        <v>60</v>
      </c>
      <c r="I31" s="27" t="s">
        <v>61</v>
      </c>
      <c r="J31" s="4" t="s">
        <v>62</v>
      </c>
      <c r="K31" s="26" t="s">
        <v>47</v>
      </c>
      <c r="L31" s="27" t="s">
        <v>48</v>
      </c>
      <c r="N31" s="113" t="s">
        <v>73</v>
      </c>
      <c r="O31" s="113"/>
      <c r="P31" s="113"/>
    </row>
    <row r="32" spans="1:16" x14ac:dyDescent="0.3">
      <c r="D32" s="113" t="s">
        <v>26</v>
      </c>
      <c r="E32" s="113"/>
      <c r="F32" s="16">
        <v>1272798.0773695135</v>
      </c>
      <c r="G32" s="16">
        <v>1.5</v>
      </c>
      <c r="H32" s="25">
        <f>F32*G32</f>
        <v>1909197.1160542702</v>
      </c>
      <c r="I32" s="23">
        <f>F32*G32</f>
        <v>1909197.1160542702</v>
      </c>
      <c r="J32" s="16">
        <v>2</v>
      </c>
      <c r="K32" s="25">
        <f>J32*H32</f>
        <v>3818394.2321085404</v>
      </c>
      <c r="L32" s="23">
        <f>I32*J32</f>
        <v>3818394.2321085404</v>
      </c>
      <c r="N32" s="113" t="s">
        <v>74</v>
      </c>
      <c r="O32" s="113"/>
      <c r="P32" s="113"/>
    </row>
    <row r="33" spans="4:14" x14ac:dyDescent="0.3">
      <c r="D33" s="113" t="s">
        <v>28</v>
      </c>
      <c r="E33" s="113"/>
      <c r="F33" s="16">
        <v>836449.99608073174</v>
      </c>
      <c r="G33" s="16">
        <v>1.2</v>
      </c>
      <c r="H33" s="25">
        <f t="shared" ref="H33:H35" si="1">F33*G33</f>
        <v>1003739.995296878</v>
      </c>
      <c r="I33" s="29" t="s">
        <v>67</v>
      </c>
      <c r="J33" s="16">
        <v>1.5</v>
      </c>
      <c r="K33" s="25">
        <f t="shared" ref="K33:K35" si="2">J33*H33</f>
        <v>1505609.9929453172</v>
      </c>
      <c r="L33" s="29" t="s">
        <v>67</v>
      </c>
    </row>
    <row r="34" spans="4:14" x14ac:dyDescent="0.3">
      <c r="D34" s="113" t="s">
        <v>271</v>
      </c>
      <c r="E34" s="113"/>
      <c r="F34" s="16">
        <v>360000</v>
      </c>
      <c r="G34" s="16">
        <v>1.1000000000000001</v>
      </c>
      <c r="H34" s="25">
        <f t="shared" si="1"/>
        <v>396000.00000000006</v>
      </c>
      <c r="I34" s="23">
        <f t="shared" ref="I34:I36" si="3">F34*G34</f>
        <v>396000.00000000006</v>
      </c>
      <c r="J34" s="16">
        <v>1.5</v>
      </c>
      <c r="K34" s="25">
        <f t="shared" si="2"/>
        <v>594000.00000000012</v>
      </c>
      <c r="L34" s="23">
        <f t="shared" ref="L34:L36" si="4">I34*J34</f>
        <v>594000.00000000012</v>
      </c>
    </row>
    <row r="35" spans="4:14" x14ac:dyDescent="0.3">
      <c r="D35" s="113" t="s">
        <v>30</v>
      </c>
      <c r="E35" s="113"/>
      <c r="F35" s="16">
        <v>214000</v>
      </c>
      <c r="G35" s="16">
        <v>1</v>
      </c>
      <c r="H35" s="25">
        <f t="shared" si="1"/>
        <v>214000</v>
      </c>
      <c r="I35" s="23">
        <f t="shared" si="3"/>
        <v>214000</v>
      </c>
      <c r="J35" s="16">
        <v>1.7</v>
      </c>
      <c r="K35" s="25">
        <f t="shared" si="2"/>
        <v>363800</v>
      </c>
      <c r="L35" s="23">
        <f t="shared" si="4"/>
        <v>363800</v>
      </c>
    </row>
    <row r="36" spans="4:14" x14ac:dyDescent="0.3">
      <c r="D36" s="113" t="s">
        <v>31</v>
      </c>
      <c r="E36" s="113"/>
      <c r="F36" s="16">
        <v>127000</v>
      </c>
      <c r="G36" s="16">
        <v>1</v>
      </c>
      <c r="H36" s="28" t="s">
        <v>67</v>
      </c>
      <c r="I36" s="23">
        <f t="shared" si="3"/>
        <v>127000</v>
      </c>
      <c r="J36" s="16">
        <v>1</v>
      </c>
      <c r="K36" s="28" t="s">
        <v>67</v>
      </c>
      <c r="L36" s="23">
        <f t="shared" si="4"/>
        <v>127000</v>
      </c>
    </row>
    <row r="37" spans="4:14" x14ac:dyDescent="0.3">
      <c r="D37" s="113" t="s">
        <v>66</v>
      </c>
      <c r="E37" s="113"/>
      <c r="F37" s="16">
        <v>864000</v>
      </c>
      <c r="G37" s="30" t="s">
        <v>67</v>
      </c>
      <c r="H37" s="28" t="s">
        <v>67</v>
      </c>
      <c r="I37" s="29" t="s">
        <v>67</v>
      </c>
      <c r="J37" s="30" t="s">
        <v>67</v>
      </c>
      <c r="K37" s="22">
        <v>864000</v>
      </c>
      <c r="L37" s="23">
        <v>864000</v>
      </c>
    </row>
    <row r="38" spans="4:14" x14ac:dyDescent="0.3">
      <c r="D38" s="114" t="s">
        <v>69</v>
      </c>
      <c r="E38" s="115"/>
      <c r="H38" s="31">
        <f>SUM(H32:H35)</f>
        <v>3522937.1113511482</v>
      </c>
      <c r="I38" s="14">
        <f>I32+I34+I35+I36</f>
        <v>2646197.1160542704</v>
      </c>
      <c r="K38" s="31">
        <f>(SUM(K32:K35)+K37)</f>
        <v>7145804.225053858</v>
      </c>
      <c r="L38" s="14">
        <f>(SUM(L34:L37)+L32)</f>
        <v>5767194.2321085408</v>
      </c>
    </row>
    <row r="39" spans="4:14" x14ac:dyDescent="0.3">
      <c r="E39" s="32" t="s">
        <v>32</v>
      </c>
      <c r="H39" s="31">
        <f>H38/86400</f>
        <v>40.774735085082732</v>
      </c>
      <c r="K39" s="31">
        <f>K38/86400</f>
        <v>82.706067419604835</v>
      </c>
    </row>
    <row r="41" spans="4:14" x14ac:dyDescent="0.3">
      <c r="D41" s="113" t="s">
        <v>71</v>
      </c>
      <c r="E41" s="113"/>
      <c r="F41" s="113"/>
      <c r="G41" s="113"/>
      <c r="H41" s="113"/>
      <c r="I41" s="7">
        <f>H39</f>
        <v>40.774735085082732</v>
      </c>
      <c r="J41" s="6" t="s">
        <v>32</v>
      </c>
      <c r="K41" s="108">
        <v>41</v>
      </c>
      <c r="L41" s="109" t="s">
        <v>32</v>
      </c>
      <c r="M41" s="118" t="s">
        <v>76</v>
      </c>
      <c r="N41" s="119"/>
    </row>
    <row r="42" spans="4:14" x14ac:dyDescent="0.3">
      <c r="D42" s="113" t="s">
        <v>72</v>
      </c>
      <c r="E42" s="113"/>
      <c r="F42" s="113"/>
      <c r="G42" s="113"/>
      <c r="H42" s="113"/>
      <c r="I42" s="7">
        <f>K39</f>
        <v>82.706067419604835</v>
      </c>
      <c r="J42" s="6" t="s">
        <v>32</v>
      </c>
      <c r="K42" s="110">
        <v>83</v>
      </c>
      <c r="L42" s="111" t="s">
        <v>32</v>
      </c>
      <c r="M42" s="116" t="s">
        <v>77</v>
      </c>
      <c r="N42" s="117"/>
    </row>
  </sheetData>
  <mergeCells count="46">
    <mergeCell ref="D1:G1"/>
    <mergeCell ref="D2:J2"/>
    <mergeCell ref="K2:L2"/>
    <mergeCell ref="D10:E10"/>
    <mergeCell ref="D11:E11"/>
    <mergeCell ref="D6:I6"/>
    <mergeCell ref="D3:E3"/>
    <mergeCell ref="H3:I3"/>
    <mergeCell ref="D8:E8"/>
    <mergeCell ref="D7:E7"/>
    <mergeCell ref="D9:E9"/>
    <mergeCell ref="L7:M7"/>
    <mergeCell ref="J8:K8"/>
    <mergeCell ref="J9:K9"/>
    <mergeCell ref="J10:K10"/>
    <mergeCell ref="J11:K11"/>
    <mergeCell ref="N5:Q5"/>
    <mergeCell ref="N6:Q6"/>
    <mergeCell ref="E15:P15"/>
    <mergeCell ref="E28:P28"/>
    <mergeCell ref="H30:I30"/>
    <mergeCell ref="K30:L30"/>
    <mergeCell ref="D14:P14"/>
    <mergeCell ref="L8:M8"/>
    <mergeCell ref="L9:M9"/>
    <mergeCell ref="L10:M10"/>
    <mergeCell ref="L11:M11"/>
    <mergeCell ref="J5:M5"/>
    <mergeCell ref="D12:H12"/>
    <mergeCell ref="J6:K6"/>
    <mergeCell ref="L6:M6"/>
    <mergeCell ref="J7:K7"/>
    <mergeCell ref="D42:H42"/>
    <mergeCell ref="N31:P31"/>
    <mergeCell ref="N32:P32"/>
    <mergeCell ref="D36:E36"/>
    <mergeCell ref="D37:E37"/>
    <mergeCell ref="D31:E31"/>
    <mergeCell ref="D38:E38"/>
    <mergeCell ref="D41:H41"/>
    <mergeCell ref="D32:E32"/>
    <mergeCell ref="D33:E33"/>
    <mergeCell ref="D34:E34"/>
    <mergeCell ref="D35:E35"/>
    <mergeCell ref="M42:N42"/>
    <mergeCell ref="M41:N4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85A0-ACFD-48ED-81F4-5B67A1E0F9AB}">
  <dimension ref="A1:R30"/>
  <sheetViews>
    <sheetView workbookViewId="0">
      <selection activeCell="O32" sqref="O32"/>
    </sheetView>
  </sheetViews>
  <sheetFormatPr defaultColWidth="11.33203125" defaultRowHeight="14.4" x14ac:dyDescent="0.3"/>
  <sheetData>
    <row r="1" spans="1:18" x14ac:dyDescent="0.3">
      <c r="A1" s="154" t="s">
        <v>79</v>
      </c>
      <c r="B1" s="154"/>
      <c r="C1" s="40">
        <v>41</v>
      </c>
      <c r="D1" s="40" t="s">
        <v>32</v>
      </c>
      <c r="E1" s="5"/>
      <c r="F1" s="5"/>
      <c r="G1" s="5"/>
      <c r="H1" s="5"/>
    </row>
    <row r="2" spans="1:18" x14ac:dyDescent="0.3">
      <c r="A2" s="133" t="s">
        <v>78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53" t="s">
        <v>82</v>
      </c>
      <c r="M2" s="153"/>
      <c r="N2" s="153"/>
      <c r="O2" s="153"/>
      <c r="P2" s="153"/>
      <c r="Q2" s="35">
        <f>C1*86400</f>
        <v>3542400</v>
      </c>
      <c r="R2" s="35" t="s">
        <v>80</v>
      </c>
    </row>
    <row r="3" spans="1:18" x14ac:dyDescent="0.3">
      <c r="A3" s="113" t="s">
        <v>123</v>
      </c>
      <c r="B3" s="113"/>
      <c r="C3" s="113"/>
      <c r="D3" s="113"/>
      <c r="E3" s="41">
        <v>15</v>
      </c>
      <c r="Q3" s="35">
        <f>Q2/1000</f>
        <v>3542.4</v>
      </c>
      <c r="R3" s="35" t="s">
        <v>81</v>
      </c>
    </row>
    <row r="5" spans="1:18" x14ac:dyDescent="0.3">
      <c r="A5" s="36" t="s">
        <v>83</v>
      </c>
      <c r="B5" s="36" t="s">
        <v>84</v>
      </c>
      <c r="C5" s="7" t="s">
        <v>114</v>
      </c>
      <c r="D5" s="113" t="s">
        <v>115</v>
      </c>
      <c r="E5" s="113"/>
      <c r="F5" s="113" t="s">
        <v>116</v>
      </c>
      <c r="G5" s="113"/>
      <c r="H5" s="143" t="s">
        <v>109</v>
      </c>
      <c r="I5" s="127"/>
      <c r="J5" s="127" t="s">
        <v>110</v>
      </c>
      <c r="K5" s="127"/>
      <c r="L5" s="66">
        <f>E3/C1</f>
        <v>0.36585365853658536</v>
      </c>
      <c r="M5" s="67" t="s">
        <v>306</v>
      </c>
      <c r="N5" s="68"/>
    </row>
    <row r="6" spans="1:18" x14ac:dyDescent="0.3">
      <c r="A6" s="36" t="s">
        <v>85</v>
      </c>
      <c r="B6" s="37">
        <v>2</v>
      </c>
      <c r="C6" s="16">
        <v>1.53</v>
      </c>
      <c r="D6" s="124">
        <v>3.17</v>
      </c>
      <c r="E6" s="124"/>
      <c r="F6" s="124">
        <f>D6+C6-B6</f>
        <v>2.7</v>
      </c>
      <c r="G6" s="124"/>
      <c r="H6" s="120" t="s">
        <v>111</v>
      </c>
      <c r="I6" s="137"/>
      <c r="J6" s="137" t="s">
        <v>305</v>
      </c>
      <c r="K6" s="137"/>
      <c r="L6" s="59">
        <f>0.366/24</f>
        <v>1.525E-2</v>
      </c>
      <c r="M6" s="65" t="s">
        <v>307</v>
      </c>
      <c r="N6" s="60"/>
    </row>
    <row r="7" spans="1:18" x14ac:dyDescent="0.3">
      <c r="A7" s="38" t="s">
        <v>86</v>
      </c>
      <c r="B7" s="37">
        <v>2</v>
      </c>
      <c r="C7" s="80">
        <v>1.53</v>
      </c>
      <c r="D7" s="124">
        <v>3.17</v>
      </c>
      <c r="E7" s="124"/>
      <c r="F7" s="124">
        <f t="shared" ref="F7:F29" si="0">F6+D7+C7-B7</f>
        <v>5.4</v>
      </c>
      <c r="G7" s="124"/>
      <c r="H7" s="120" t="s">
        <v>112</v>
      </c>
      <c r="I7" s="137"/>
      <c r="J7" s="137" t="s">
        <v>308</v>
      </c>
      <c r="K7" s="137"/>
      <c r="L7" s="59"/>
      <c r="M7" s="59"/>
      <c r="N7" s="60"/>
    </row>
    <row r="8" spans="1:18" x14ac:dyDescent="0.3">
      <c r="A8" s="38" t="s">
        <v>87</v>
      </c>
      <c r="B8" s="37">
        <v>2</v>
      </c>
      <c r="C8" s="80">
        <v>1.53</v>
      </c>
      <c r="D8" s="124">
        <v>3.17</v>
      </c>
      <c r="E8" s="124"/>
      <c r="F8" s="124">
        <f t="shared" si="0"/>
        <v>8.1</v>
      </c>
      <c r="G8" s="124"/>
      <c r="H8" s="151" t="s">
        <v>113</v>
      </c>
      <c r="I8" s="152"/>
      <c r="J8" s="152" t="s">
        <v>309</v>
      </c>
      <c r="K8" s="152"/>
      <c r="L8" s="62">
        <v>3.1699999999999999E-2</v>
      </c>
      <c r="M8" s="69" t="s">
        <v>310</v>
      </c>
      <c r="N8" s="63"/>
    </row>
    <row r="9" spans="1:18" x14ac:dyDescent="0.3">
      <c r="A9" s="38" t="s">
        <v>88</v>
      </c>
      <c r="B9" s="37">
        <v>2</v>
      </c>
      <c r="C9" s="80">
        <v>1.53</v>
      </c>
      <c r="D9" s="124">
        <v>3.17</v>
      </c>
      <c r="E9" s="124"/>
      <c r="F9" s="124">
        <f t="shared" si="0"/>
        <v>10.799999999999999</v>
      </c>
      <c r="G9" s="124"/>
      <c r="O9" t="s">
        <v>313</v>
      </c>
    </row>
    <row r="10" spans="1:18" x14ac:dyDescent="0.3">
      <c r="A10" s="38" t="s">
        <v>89</v>
      </c>
      <c r="B10" s="37">
        <v>3</v>
      </c>
      <c r="C10" s="80">
        <v>1.53</v>
      </c>
      <c r="D10" s="124">
        <v>3.17</v>
      </c>
      <c r="E10" s="124"/>
      <c r="F10" s="124">
        <f t="shared" si="0"/>
        <v>12.499999999999998</v>
      </c>
      <c r="G10" s="124"/>
    </row>
    <row r="11" spans="1:18" x14ac:dyDescent="0.3">
      <c r="A11" s="38" t="s">
        <v>90</v>
      </c>
      <c r="B11" s="37">
        <v>3</v>
      </c>
      <c r="C11" s="80">
        <v>1.53</v>
      </c>
      <c r="D11" s="124">
        <v>3.17</v>
      </c>
      <c r="E11" s="124"/>
      <c r="F11" s="124">
        <f t="shared" si="0"/>
        <v>14.2</v>
      </c>
      <c r="G11" s="124"/>
      <c r="J11" s="125" t="s">
        <v>117</v>
      </c>
      <c r="K11" s="125"/>
      <c r="L11" s="125"/>
      <c r="M11" s="125"/>
      <c r="N11" s="125"/>
      <c r="O11" s="125"/>
      <c r="P11" s="125"/>
      <c r="Q11" s="125"/>
    </row>
    <row r="12" spans="1:18" x14ac:dyDescent="0.3">
      <c r="A12" s="38" t="s">
        <v>91</v>
      </c>
      <c r="B12" s="37">
        <v>4</v>
      </c>
      <c r="C12" s="80">
        <v>1.53</v>
      </c>
      <c r="D12" s="124">
        <v>3.17</v>
      </c>
      <c r="E12" s="124"/>
      <c r="F12" s="148">
        <f t="shared" si="0"/>
        <v>14.899999999999999</v>
      </c>
      <c r="G12" s="148"/>
      <c r="J12" s="132" t="s">
        <v>314</v>
      </c>
      <c r="K12" s="147"/>
      <c r="L12" s="147"/>
      <c r="M12" s="147"/>
      <c r="N12" s="147"/>
      <c r="O12" s="147"/>
      <c r="P12" s="147"/>
      <c r="Q12" s="64">
        <f>(0.1511+0.1126)*Q3</f>
        <v>934.13088000000016</v>
      </c>
      <c r="R12" s="35" t="s">
        <v>81</v>
      </c>
    </row>
    <row r="13" spans="1:18" x14ac:dyDescent="0.3">
      <c r="A13" s="38" t="s">
        <v>92</v>
      </c>
      <c r="B13" s="37">
        <v>5</v>
      </c>
      <c r="C13" s="80">
        <v>1.53</v>
      </c>
      <c r="D13" s="124">
        <v>3.17</v>
      </c>
      <c r="E13" s="124"/>
      <c r="F13" s="124">
        <f t="shared" si="0"/>
        <v>14.600000000000001</v>
      </c>
      <c r="G13" s="124"/>
      <c r="J13" s="58"/>
      <c r="K13" s="59"/>
      <c r="L13" s="59"/>
      <c r="M13" s="59"/>
      <c r="N13" s="59"/>
      <c r="O13" s="59"/>
      <c r="P13" s="59"/>
      <c r="Q13" s="60"/>
    </row>
    <row r="14" spans="1:18" x14ac:dyDescent="0.3">
      <c r="A14" s="38" t="s">
        <v>93</v>
      </c>
      <c r="B14" s="37">
        <v>5</v>
      </c>
      <c r="C14" s="80">
        <v>1.53</v>
      </c>
      <c r="D14" s="124">
        <v>3.17</v>
      </c>
      <c r="E14" s="124"/>
      <c r="F14" s="124">
        <f t="shared" si="0"/>
        <v>14.300000000000004</v>
      </c>
      <c r="G14" s="124"/>
      <c r="J14" s="125" t="s">
        <v>118</v>
      </c>
      <c r="K14" s="125"/>
      <c r="L14" s="125"/>
      <c r="M14" s="125"/>
      <c r="N14" s="125"/>
      <c r="O14" s="125"/>
      <c r="P14" s="125"/>
      <c r="Q14" s="125"/>
    </row>
    <row r="15" spans="1:18" x14ac:dyDescent="0.3">
      <c r="A15" s="38" t="s">
        <v>94</v>
      </c>
      <c r="B15" s="37">
        <v>6</v>
      </c>
      <c r="C15" s="80">
        <v>1.53</v>
      </c>
      <c r="D15" s="124">
        <v>3.17</v>
      </c>
      <c r="E15" s="124"/>
      <c r="F15" s="124">
        <f t="shared" si="0"/>
        <v>13.000000000000007</v>
      </c>
      <c r="G15" s="124"/>
      <c r="J15" s="140" t="s">
        <v>119</v>
      </c>
      <c r="K15" s="141"/>
      <c r="L15" s="141"/>
      <c r="M15" s="141"/>
      <c r="N15" s="141"/>
      <c r="O15" s="141"/>
      <c r="P15" s="141"/>
      <c r="Q15" s="142"/>
    </row>
    <row r="16" spans="1:18" x14ac:dyDescent="0.3">
      <c r="A16" s="38" t="s">
        <v>95</v>
      </c>
      <c r="B16" s="37">
        <v>7</v>
      </c>
      <c r="C16" s="80">
        <v>1.53</v>
      </c>
      <c r="D16" s="124">
        <v>3.17</v>
      </c>
      <c r="E16" s="124"/>
      <c r="F16" s="124">
        <f t="shared" si="0"/>
        <v>10.70000000000001</v>
      </c>
      <c r="G16" s="124"/>
      <c r="J16" s="120" t="s">
        <v>126</v>
      </c>
      <c r="K16" s="137"/>
      <c r="L16" s="137"/>
      <c r="M16" s="137"/>
      <c r="N16" s="137"/>
      <c r="O16" s="137"/>
      <c r="P16" s="137"/>
      <c r="Q16" s="146"/>
    </row>
    <row r="17" spans="1:17" x14ac:dyDescent="0.3">
      <c r="A17" s="38" t="s">
        <v>96</v>
      </c>
      <c r="B17" s="37">
        <v>7</v>
      </c>
      <c r="C17" s="80">
        <v>1.53</v>
      </c>
      <c r="D17" s="124">
        <v>3.17</v>
      </c>
      <c r="E17" s="124"/>
      <c r="F17" s="124">
        <f t="shared" si="0"/>
        <v>8.4000000000000092</v>
      </c>
      <c r="G17" s="124"/>
      <c r="J17" s="58" t="s">
        <v>311</v>
      </c>
      <c r="K17" s="59"/>
      <c r="L17" s="59">
        <f>0.634*C1</f>
        <v>25.994</v>
      </c>
      <c r="M17" s="59" t="s">
        <v>32</v>
      </c>
      <c r="N17" s="59"/>
      <c r="O17" s="59"/>
      <c r="P17" s="59"/>
      <c r="Q17" s="60"/>
    </row>
    <row r="18" spans="1:17" x14ac:dyDescent="0.3">
      <c r="A18" s="39" t="s">
        <v>97</v>
      </c>
      <c r="B18" s="37">
        <v>8</v>
      </c>
      <c r="C18" s="80">
        <v>1.53</v>
      </c>
      <c r="D18" s="149">
        <v>0</v>
      </c>
      <c r="E18" s="150"/>
      <c r="F18" s="124">
        <f t="shared" si="0"/>
        <v>1.9300000000000086</v>
      </c>
      <c r="G18" s="124"/>
      <c r="J18" s="120" t="s">
        <v>312</v>
      </c>
      <c r="K18" s="137"/>
      <c r="L18" s="59">
        <v>15</v>
      </c>
      <c r="M18" s="59" t="s">
        <v>32</v>
      </c>
      <c r="N18" s="137" t="s">
        <v>128</v>
      </c>
      <c r="O18" s="137"/>
      <c r="P18" s="137"/>
      <c r="Q18" s="60"/>
    </row>
    <row r="19" spans="1:17" x14ac:dyDescent="0.3">
      <c r="A19" s="36" t="s">
        <v>98</v>
      </c>
      <c r="B19" s="37">
        <v>6</v>
      </c>
      <c r="C19" s="80">
        <v>1.53</v>
      </c>
      <c r="D19" s="149">
        <v>0</v>
      </c>
      <c r="E19" s="150"/>
      <c r="F19" s="124">
        <f t="shared" si="0"/>
        <v>-2.5399999999999912</v>
      </c>
      <c r="G19" s="124"/>
      <c r="J19" s="58"/>
      <c r="K19" s="61" t="s">
        <v>127</v>
      </c>
      <c r="L19" s="61">
        <f>((24/20)*L17*4*60*60+L18*4*60*60)/1000</f>
        <v>665.17632000000003</v>
      </c>
      <c r="M19" s="61" t="s">
        <v>81</v>
      </c>
      <c r="N19" s="61"/>
      <c r="O19" s="61"/>
      <c r="P19" s="61"/>
      <c r="Q19" s="60"/>
    </row>
    <row r="20" spans="1:17" x14ac:dyDescent="0.3">
      <c r="A20" s="36" t="s">
        <v>99</v>
      </c>
      <c r="B20" s="37">
        <v>5</v>
      </c>
      <c r="C20" s="80">
        <v>1.53</v>
      </c>
      <c r="D20" s="149">
        <v>0</v>
      </c>
      <c r="E20" s="150"/>
      <c r="F20" s="124">
        <f t="shared" si="0"/>
        <v>-6.0099999999999909</v>
      </c>
      <c r="G20" s="124"/>
      <c r="J20" s="120" t="s">
        <v>120</v>
      </c>
      <c r="K20" s="137"/>
      <c r="L20" s="137"/>
      <c r="M20" s="24">
        <f>2*5*3*60*60/1000</f>
        <v>108</v>
      </c>
      <c r="N20" s="24" t="s">
        <v>81</v>
      </c>
      <c r="O20" s="59"/>
      <c r="P20" s="59"/>
      <c r="Q20" s="60"/>
    </row>
    <row r="21" spans="1:17" x14ac:dyDescent="0.3">
      <c r="A21" s="36" t="s">
        <v>100</v>
      </c>
      <c r="B21" s="37">
        <v>5</v>
      </c>
      <c r="C21" s="80">
        <v>1.53</v>
      </c>
      <c r="D21" s="149">
        <v>0</v>
      </c>
      <c r="E21" s="150"/>
      <c r="F21" s="124">
        <f t="shared" si="0"/>
        <v>-9.4799999999999898</v>
      </c>
      <c r="G21" s="124"/>
      <c r="J21" s="144" t="s">
        <v>121</v>
      </c>
      <c r="K21" s="145"/>
      <c r="L21" s="145"/>
      <c r="M21" s="145"/>
      <c r="N21" s="145"/>
      <c r="O21" s="59"/>
      <c r="P21" s="59"/>
      <c r="Q21" s="60"/>
    </row>
    <row r="22" spans="1:17" x14ac:dyDescent="0.3">
      <c r="A22" s="36" t="s">
        <v>101</v>
      </c>
      <c r="B22" s="37">
        <v>5</v>
      </c>
      <c r="C22" s="80">
        <v>1.53</v>
      </c>
      <c r="D22" s="124">
        <v>3.17</v>
      </c>
      <c r="E22" s="124"/>
      <c r="F22" s="124">
        <f t="shared" si="0"/>
        <v>-9.7799999999999905</v>
      </c>
      <c r="G22" s="124"/>
      <c r="J22" s="132" t="s">
        <v>315</v>
      </c>
      <c r="K22" s="137"/>
      <c r="L22" s="137"/>
      <c r="M22" s="137"/>
      <c r="N22" s="137"/>
      <c r="O22" s="137"/>
      <c r="P22" s="137"/>
      <c r="Q22" s="146"/>
    </row>
    <row r="23" spans="1:17" x14ac:dyDescent="0.3">
      <c r="A23" s="36" t="s">
        <v>102</v>
      </c>
      <c r="B23" s="37">
        <v>6</v>
      </c>
      <c r="C23" s="80">
        <v>1.53</v>
      </c>
      <c r="D23" s="124">
        <v>3.17</v>
      </c>
      <c r="E23" s="124"/>
      <c r="F23" s="148">
        <f t="shared" si="0"/>
        <v>-11.079999999999991</v>
      </c>
      <c r="G23" s="148"/>
      <c r="J23" s="125" t="s">
        <v>122</v>
      </c>
      <c r="K23" s="125"/>
      <c r="L23" s="125"/>
      <c r="M23" s="125"/>
      <c r="N23" s="125"/>
      <c r="O23" s="125"/>
      <c r="P23" s="125"/>
      <c r="Q23" s="125"/>
    </row>
    <row r="24" spans="1:17" x14ac:dyDescent="0.3">
      <c r="A24" s="36" t="s">
        <v>103</v>
      </c>
      <c r="B24" s="37">
        <v>4</v>
      </c>
      <c r="C24" s="80">
        <v>1.53</v>
      </c>
      <c r="D24" s="124">
        <v>3.17</v>
      </c>
      <c r="E24" s="124"/>
      <c r="F24" s="124">
        <f t="shared" si="0"/>
        <v>-10.379999999999992</v>
      </c>
      <c r="G24" s="124"/>
      <c r="J24" s="140" t="s">
        <v>316</v>
      </c>
      <c r="K24" s="141"/>
      <c r="L24" s="141"/>
      <c r="M24" s="141"/>
      <c r="N24" s="141"/>
      <c r="O24" s="141"/>
      <c r="P24" s="141"/>
      <c r="Q24" s="142"/>
    </row>
    <row r="25" spans="1:17" x14ac:dyDescent="0.3">
      <c r="A25" s="36" t="s">
        <v>104</v>
      </c>
      <c r="B25" s="37">
        <v>4</v>
      </c>
      <c r="C25" s="80">
        <v>1.53</v>
      </c>
      <c r="D25" s="124">
        <v>3.17</v>
      </c>
      <c r="E25" s="124"/>
      <c r="F25" s="124">
        <f t="shared" si="0"/>
        <v>-9.6799999999999926</v>
      </c>
      <c r="G25" s="124"/>
      <c r="J25" s="125" t="s">
        <v>124</v>
      </c>
      <c r="K25" s="125"/>
      <c r="L25" s="125"/>
      <c r="M25" s="125"/>
      <c r="N25" s="125"/>
      <c r="O25" s="125"/>
      <c r="P25" s="125"/>
      <c r="Q25" s="125"/>
    </row>
    <row r="26" spans="1:17" x14ac:dyDescent="0.3">
      <c r="A26" s="36" t="s">
        <v>105</v>
      </c>
      <c r="B26" s="37">
        <v>3</v>
      </c>
      <c r="C26" s="80">
        <v>1.53</v>
      </c>
      <c r="D26" s="124">
        <v>3.17</v>
      </c>
      <c r="E26" s="124"/>
      <c r="F26" s="124">
        <f t="shared" si="0"/>
        <v>-7.9799999999999924</v>
      </c>
      <c r="G26" s="124"/>
      <c r="J26" s="143" t="s">
        <v>125</v>
      </c>
      <c r="K26" s="127"/>
      <c r="L26" s="59"/>
      <c r="M26" s="59"/>
      <c r="N26" s="59"/>
      <c r="O26" s="59"/>
      <c r="P26" s="59"/>
      <c r="Q26" s="60"/>
    </row>
    <row r="27" spans="1:17" x14ac:dyDescent="0.3">
      <c r="A27" s="36" t="s">
        <v>106</v>
      </c>
      <c r="B27" s="37">
        <v>2</v>
      </c>
      <c r="C27" s="80">
        <v>1.53</v>
      </c>
      <c r="D27" s="124">
        <v>3.17</v>
      </c>
      <c r="E27" s="124"/>
      <c r="F27" s="124">
        <f t="shared" si="0"/>
        <v>-5.2799999999999923</v>
      </c>
      <c r="G27" s="124"/>
      <c r="J27" s="120" t="s">
        <v>129</v>
      </c>
      <c r="K27" s="137"/>
      <c r="L27" s="137"/>
      <c r="M27" s="137"/>
      <c r="N27" s="65">
        <f>1600/5</f>
        <v>320</v>
      </c>
      <c r="O27" s="59" t="s">
        <v>317</v>
      </c>
      <c r="P27" s="59"/>
      <c r="Q27" s="112" t="s">
        <v>137</v>
      </c>
    </row>
    <row r="28" spans="1:17" x14ac:dyDescent="0.3">
      <c r="A28" s="36" t="s">
        <v>107</v>
      </c>
      <c r="B28" s="37">
        <v>2</v>
      </c>
      <c r="C28" s="80">
        <v>1.53</v>
      </c>
      <c r="D28" s="124">
        <v>3.17</v>
      </c>
      <c r="E28" s="124"/>
      <c r="F28" s="124">
        <f t="shared" si="0"/>
        <v>-2.5799999999999921</v>
      </c>
      <c r="G28" s="124"/>
      <c r="J28" s="120" t="s">
        <v>130</v>
      </c>
      <c r="K28" s="137"/>
      <c r="L28" s="137"/>
      <c r="M28" s="137"/>
      <c r="N28" s="65" t="s">
        <v>131</v>
      </c>
      <c r="O28" s="59"/>
      <c r="P28" s="59"/>
      <c r="Q28" s="60"/>
    </row>
    <row r="29" spans="1:17" x14ac:dyDescent="0.3">
      <c r="A29" s="36" t="s">
        <v>108</v>
      </c>
      <c r="B29" s="37">
        <v>2</v>
      </c>
      <c r="C29" s="80">
        <v>1.53</v>
      </c>
      <c r="D29" s="124">
        <v>3.17</v>
      </c>
      <c r="E29" s="124"/>
      <c r="F29" s="124">
        <f t="shared" si="0"/>
        <v>0.1200000000000081</v>
      </c>
      <c r="G29" s="124"/>
      <c r="J29" s="58"/>
      <c r="K29" s="59"/>
      <c r="L29" s="59"/>
      <c r="M29" s="59"/>
      <c r="N29" s="59" t="s">
        <v>132</v>
      </c>
      <c r="O29" s="59"/>
      <c r="P29" s="59"/>
      <c r="Q29" s="60"/>
    </row>
    <row r="30" spans="1:17" x14ac:dyDescent="0.3">
      <c r="J30" s="138" t="s">
        <v>318</v>
      </c>
      <c r="K30" s="139"/>
      <c r="L30" s="139"/>
      <c r="M30" s="139"/>
      <c r="N30" s="139"/>
      <c r="O30" s="139"/>
      <c r="P30" s="139"/>
      <c r="Q30" s="63"/>
    </row>
  </sheetData>
  <mergeCells count="79">
    <mergeCell ref="A2:K2"/>
    <mergeCell ref="L2:P2"/>
    <mergeCell ref="A1:B1"/>
    <mergeCell ref="H5:I5"/>
    <mergeCell ref="J5:K5"/>
    <mergeCell ref="A3:D3"/>
    <mergeCell ref="D5:E5"/>
    <mergeCell ref="F5:G5"/>
    <mergeCell ref="H6:I6"/>
    <mergeCell ref="J6:K6"/>
    <mergeCell ref="H7:I7"/>
    <mergeCell ref="J7:K7"/>
    <mergeCell ref="H8:I8"/>
    <mergeCell ref="J8:K8"/>
    <mergeCell ref="D17:E17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F17:G17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29:G29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J21:N21"/>
    <mergeCell ref="J22:Q22"/>
    <mergeCell ref="J12:P12"/>
    <mergeCell ref="J11:Q11"/>
    <mergeCell ref="J14:Q14"/>
    <mergeCell ref="J16:Q16"/>
    <mergeCell ref="J18:K18"/>
    <mergeCell ref="N18:P18"/>
    <mergeCell ref="J15:Q15"/>
    <mergeCell ref="J20:L20"/>
    <mergeCell ref="J27:M27"/>
    <mergeCell ref="J28:M28"/>
    <mergeCell ref="J30:P30"/>
    <mergeCell ref="J23:Q23"/>
    <mergeCell ref="J24:Q24"/>
    <mergeCell ref="J25:Q25"/>
    <mergeCell ref="J26:K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76F3-2A17-44EF-A2F7-094692384F14}">
  <dimension ref="A1:AC38"/>
  <sheetViews>
    <sheetView topLeftCell="C1" zoomScale="70" zoomScaleNormal="70" workbookViewId="0">
      <selection activeCell="J42" sqref="J42"/>
    </sheetView>
  </sheetViews>
  <sheetFormatPr defaultRowHeight="14.4" x14ac:dyDescent="0.3"/>
  <cols>
    <col min="1" max="1" width="66.33203125" bestFit="1" customWidth="1"/>
    <col min="2" max="2" width="5.88671875" bestFit="1" customWidth="1"/>
    <col min="6" max="6" width="10" bestFit="1" customWidth="1"/>
    <col min="27" max="27" width="13" bestFit="1" customWidth="1"/>
  </cols>
  <sheetData>
    <row r="1" spans="1:24" x14ac:dyDescent="0.3">
      <c r="A1" s="47" t="s">
        <v>19</v>
      </c>
      <c r="B1" s="49"/>
      <c r="D1" s="155" t="s">
        <v>140</v>
      </c>
      <c r="E1" s="156"/>
      <c r="F1" s="156"/>
      <c r="G1" s="156"/>
      <c r="H1" s="156"/>
      <c r="I1" s="156"/>
      <c r="J1" s="156"/>
      <c r="K1" s="156"/>
      <c r="L1" s="156"/>
      <c r="M1" s="157"/>
      <c r="O1" s="165" t="s">
        <v>197</v>
      </c>
      <c r="P1" s="165"/>
      <c r="Q1" s="165"/>
      <c r="R1" s="165"/>
      <c r="S1" s="165"/>
      <c r="T1" s="165"/>
      <c r="U1" s="165"/>
      <c r="V1" s="165"/>
      <c r="W1" s="165"/>
      <c r="X1" s="165"/>
    </row>
    <row r="2" spans="1:24" x14ac:dyDescent="0.3">
      <c r="A2" s="49" t="s">
        <v>11</v>
      </c>
      <c r="B2" s="54">
        <v>5</v>
      </c>
      <c r="D2" s="132" t="s">
        <v>138</v>
      </c>
      <c r="E2" s="147"/>
      <c r="F2" s="147"/>
      <c r="G2" s="147"/>
      <c r="H2" s="59"/>
      <c r="I2" s="59"/>
      <c r="J2" s="59"/>
      <c r="K2" s="59"/>
      <c r="L2" s="59"/>
      <c r="M2" s="60"/>
    </row>
    <row r="3" spans="1:24" x14ac:dyDescent="0.3">
      <c r="A3" s="49" t="s">
        <v>12</v>
      </c>
      <c r="B3" s="48">
        <v>20</v>
      </c>
      <c r="D3" s="70" t="s">
        <v>139</v>
      </c>
      <c r="E3" s="71"/>
      <c r="F3" s="71"/>
      <c r="G3" s="71"/>
      <c r="H3" s="71"/>
      <c r="I3" s="71"/>
      <c r="J3" s="71"/>
      <c r="K3" s="71"/>
      <c r="L3" s="59"/>
      <c r="M3" s="60"/>
    </row>
    <row r="4" spans="1:24" x14ac:dyDescent="0.3">
      <c r="A4" s="49" t="s">
        <v>13</v>
      </c>
      <c r="B4" s="50">
        <v>570</v>
      </c>
      <c r="D4" s="120" t="s">
        <v>142</v>
      </c>
      <c r="E4" s="137"/>
      <c r="F4" s="55" t="s">
        <v>145</v>
      </c>
      <c r="G4" s="56" t="s">
        <v>146</v>
      </c>
      <c r="H4" s="56">
        <f>250-230+40</f>
        <v>60</v>
      </c>
      <c r="I4" s="56" t="s">
        <v>147</v>
      </c>
      <c r="J4" s="56" t="s">
        <v>148</v>
      </c>
      <c r="K4" s="56"/>
      <c r="L4" s="56">
        <f>MAX(0.0981*H4,10)</f>
        <v>10</v>
      </c>
      <c r="M4" s="57" t="s">
        <v>149</v>
      </c>
    </row>
    <row r="5" spans="1:24" x14ac:dyDescent="0.3">
      <c r="A5" s="49" t="s">
        <v>14</v>
      </c>
      <c r="B5" s="50">
        <v>650</v>
      </c>
      <c r="D5" s="120" t="s">
        <v>143</v>
      </c>
      <c r="E5" s="137"/>
      <c r="F5" s="55" t="s">
        <v>150</v>
      </c>
      <c r="G5" s="56" t="s">
        <v>146</v>
      </c>
      <c r="H5" s="56">
        <f>230-200+40</f>
        <v>70</v>
      </c>
      <c r="I5" s="56" t="s">
        <v>147</v>
      </c>
      <c r="J5" s="56" t="s">
        <v>148</v>
      </c>
      <c r="K5" s="56"/>
      <c r="L5" s="56">
        <f>MAX(0.0981*H5,10)</f>
        <v>10</v>
      </c>
      <c r="M5" s="57" t="s">
        <v>149</v>
      </c>
    </row>
    <row r="6" spans="1:24" x14ac:dyDescent="0.3">
      <c r="A6" s="49" t="s">
        <v>15</v>
      </c>
      <c r="B6" s="50">
        <v>410</v>
      </c>
      <c r="D6" s="120" t="s">
        <v>144</v>
      </c>
      <c r="E6" s="137"/>
    </row>
    <row r="7" spans="1:24" x14ac:dyDescent="0.3">
      <c r="A7" s="104" t="s">
        <v>272</v>
      </c>
      <c r="B7" s="51">
        <v>1</v>
      </c>
      <c r="D7" s="151" t="s">
        <v>151</v>
      </c>
      <c r="E7" s="152"/>
      <c r="F7" s="62"/>
      <c r="G7" s="62"/>
      <c r="H7" s="62"/>
      <c r="I7" s="62"/>
      <c r="J7" s="62"/>
      <c r="K7" s="62"/>
      <c r="L7" s="62"/>
      <c r="M7" s="63"/>
    </row>
    <row r="8" spans="1:24" x14ac:dyDescent="0.3">
      <c r="A8" s="72" t="s">
        <v>133</v>
      </c>
      <c r="B8" s="51">
        <v>-36</v>
      </c>
    </row>
    <row r="9" spans="1:24" x14ac:dyDescent="0.3">
      <c r="A9" s="72" t="s">
        <v>134</v>
      </c>
      <c r="B9" s="48">
        <v>1700</v>
      </c>
    </row>
    <row r="10" spans="1:24" x14ac:dyDescent="0.3">
      <c r="A10" s="72" t="s">
        <v>135</v>
      </c>
      <c r="B10" s="48">
        <v>130</v>
      </c>
    </row>
    <row r="11" spans="1:24" x14ac:dyDescent="0.3">
      <c r="A11" s="72" t="s">
        <v>136</v>
      </c>
      <c r="B11" s="48">
        <v>0.11</v>
      </c>
    </row>
    <row r="12" spans="1:24" x14ac:dyDescent="0.3">
      <c r="A12" s="72" t="s">
        <v>141</v>
      </c>
      <c r="B12" s="52">
        <v>0.08</v>
      </c>
    </row>
    <row r="16" spans="1:24" x14ac:dyDescent="0.3">
      <c r="O16" s="158" t="s">
        <v>221</v>
      </c>
      <c r="P16" s="158"/>
      <c r="Q16" s="158"/>
      <c r="R16" s="158"/>
      <c r="S16" s="158"/>
      <c r="T16" s="158"/>
      <c r="U16" s="158"/>
      <c r="V16" s="158"/>
      <c r="W16" s="158"/>
      <c r="X16" s="158"/>
    </row>
    <row r="17" spans="4:29" x14ac:dyDescent="0.3">
      <c r="S17" t="s">
        <v>222</v>
      </c>
    </row>
    <row r="18" spans="4:29" x14ac:dyDescent="0.3">
      <c r="O18" s="43" t="s">
        <v>198</v>
      </c>
      <c r="P18">
        <v>998.2</v>
      </c>
      <c r="Q18" t="s">
        <v>203</v>
      </c>
      <c r="R18" s="166" t="s">
        <v>204</v>
      </c>
      <c r="S18" s="166"/>
      <c r="U18" s="42" t="s">
        <v>218</v>
      </c>
      <c r="V18" s="90" t="s">
        <v>219</v>
      </c>
      <c r="W18" s="42" t="s">
        <v>224</v>
      </c>
      <c r="X18" s="42" t="s">
        <v>223</v>
      </c>
      <c r="Z18" s="121" t="s">
        <v>328</v>
      </c>
      <c r="AA18" s="121"/>
      <c r="AB18" s="121"/>
      <c r="AC18" s="121"/>
    </row>
    <row r="19" spans="4:29" x14ac:dyDescent="0.3">
      <c r="O19" s="43" t="s">
        <v>200</v>
      </c>
      <c r="P19">
        <f>2.08*10^8</f>
        <v>208000000</v>
      </c>
      <c r="Q19" t="s">
        <v>199</v>
      </c>
      <c r="T19" s="42" t="s">
        <v>150</v>
      </c>
      <c r="U19" s="14">
        <v>0.27760000000000001</v>
      </c>
      <c r="V19" s="89">
        <f>SQRT((9.81/$P$18)/((1/$P$19)+(U19/(P20*$P$23))))</f>
        <v>25.725657251380454</v>
      </c>
      <c r="W19" s="44">
        <v>410</v>
      </c>
      <c r="X19" s="44">
        <f xml:space="preserve"> 2*W19/V19</f>
        <v>31.874793012567185</v>
      </c>
      <c r="Z19">
        <f>(9.81/$P$18)</f>
        <v>9.8276898417150871E-3</v>
      </c>
      <c r="AA19">
        <f>(1/$P$19+U19/(P20*$P$23))</f>
        <v>1.4849727478403953E-5</v>
      </c>
      <c r="AB19">
        <f>Z19/AA19</f>
        <v>661.80944101550381</v>
      </c>
      <c r="AC19">
        <f>SQRT(AB19)</f>
        <v>25.725657251380454</v>
      </c>
    </row>
    <row r="20" spans="4:29" x14ac:dyDescent="0.3">
      <c r="O20" s="43" t="s">
        <v>201</v>
      </c>
      <c r="P20">
        <f>18.7/1000</f>
        <v>1.8699999999999998E-2</v>
      </c>
      <c r="Q20" t="s">
        <v>147</v>
      </c>
      <c r="T20" s="42" t="s">
        <v>320</v>
      </c>
      <c r="U20" s="14">
        <v>0.23880000000000001</v>
      </c>
      <c r="V20" s="89">
        <f t="shared" ref="V20:V21" si="0">SQRT((9.81/$P$18)/((1/$P$19)+(U20/(P21*$P$23))))</f>
        <v>18.48039813546518</v>
      </c>
      <c r="W20" s="44">
        <v>650</v>
      </c>
      <c r="X20" s="80">
        <f t="shared" ref="X20:X21" si="1" xml:space="preserve"> 2*W20/V20</f>
        <v>70.3448048289181</v>
      </c>
      <c r="Z20">
        <f t="shared" ref="Z20:Z21" si="2">(9.81/$P$18)</f>
        <v>9.8276898417150871E-3</v>
      </c>
      <c r="AA20">
        <f t="shared" ref="AA20:AA21" si="3">(1/$P$19+U20/(P21*$P$23))</f>
        <v>2.8775892029657092E-5</v>
      </c>
      <c r="AB20">
        <f t="shared" ref="AB20:AB21" si="4">Z20/AA20</f>
        <v>341.52511524530485</v>
      </c>
      <c r="AC20">
        <f t="shared" ref="AC20:AC21" si="5">SQRT(AB20)</f>
        <v>18.48039813546518</v>
      </c>
    </row>
    <row r="21" spans="4:29" x14ac:dyDescent="0.3">
      <c r="P21">
        <f>8.3/1000</f>
        <v>8.3000000000000001E-3</v>
      </c>
      <c r="T21" s="42" t="s">
        <v>145</v>
      </c>
      <c r="U21" s="14">
        <v>0.1234</v>
      </c>
      <c r="V21" s="89">
        <f t="shared" si="0"/>
        <v>40.488113613067078</v>
      </c>
      <c r="W21" s="44">
        <v>570</v>
      </c>
      <c r="X21" s="80">
        <f t="shared" si="1"/>
        <v>28.156411802600701</v>
      </c>
      <c r="Z21">
        <f t="shared" si="2"/>
        <v>9.8276898417150871E-3</v>
      </c>
      <c r="AA21">
        <f t="shared" si="3"/>
        <v>5.9950989544436147E-6</v>
      </c>
      <c r="AB21">
        <f t="shared" si="4"/>
        <v>1639.2873439446275</v>
      </c>
      <c r="AC21">
        <f t="shared" si="5"/>
        <v>40.488113613067078</v>
      </c>
    </row>
    <row r="22" spans="4:29" x14ac:dyDescent="0.3">
      <c r="D22" s="165" t="s">
        <v>153</v>
      </c>
      <c r="E22" s="165"/>
      <c r="F22" s="165"/>
      <c r="G22" s="165"/>
      <c r="H22" s="165"/>
      <c r="I22" s="165"/>
      <c r="J22" s="165"/>
      <c r="K22" s="165"/>
      <c r="L22" s="165"/>
      <c r="M22" s="165"/>
      <c r="P22">
        <f>20.6/1000</f>
        <v>2.06E-2</v>
      </c>
      <c r="Z22" s="43"/>
    </row>
    <row r="23" spans="4:29" x14ac:dyDescent="0.3">
      <c r="D23" s="121" t="s">
        <v>154</v>
      </c>
      <c r="E23" s="121"/>
      <c r="F23" s="121"/>
      <c r="G23" s="12">
        <v>42</v>
      </c>
      <c r="H23" t="s">
        <v>32</v>
      </c>
      <c r="I23" s="133" t="s">
        <v>157</v>
      </c>
      <c r="J23" s="133"/>
      <c r="O23" s="43" t="s">
        <v>202</v>
      </c>
      <c r="P23">
        <v>1000000</v>
      </c>
      <c r="Q23" s="121" t="s">
        <v>327</v>
      </c>
      <c r="R23" s="121"/>
      <c r="Z23" s="43"/>
    </row>
    <row r="24" spans="4:29" x14ac:dyDescent="0.3">
      <c r="D24" s="158" t="s">
        <v>174</v>
      </c>
      <c r="E24" s="158"/>
      <c r="F24" s="158"/>
      <c r="G24" s="158"/>
      <c r="H24" s="158"/>
      <c r="I24" s="158"/>
      <c r="R24" s="13"/>
      <c r="Z24" s="43"/>
    </row>
    <row r="25" spans="4:29" x14ac:dyDescent="0.3">
      <c r="D25" s="121" t="s">
        <v>158</v>
      </c>
      <c r="E25" s="121"/>
      <c r="F25" s="121"/>
      <c r="G25" s="121"/>
      <c r="H25" s="12">
        <v>15</v>
      </c>
      <c r="I25" s="12" t="s">
        <v>147</v>
      </c>
    </row>
    <row r="26" spans="4:29" x14ac:dyDescent="0.3">
      <c r="D26" s="121" t="s">
        <v>159</v>
      </c>
      <c r="E26" s="121"/>
      <c r="F26" s="121"/>
      <c r="G26" s="121"/>
      <c r="H26" s="12">
        <v>66</v>
      </c>
      <c r="I26" s="12" t="s">
        <v>147</v>
      </c>
      <c r="O26" s="133" t="s">
        <v>225</v>
      </c>
      <c r="P26" s="133"/>
      <c r="Q26" s="133"/>
      <c r="R26" s="133"/>
      <c r="S26" s="133"/>
      <c r="T26" s="133"/>
      <c r="U26" s="133"/>
      <c r="V26" s="133"/>
      <c r="W26" s="133"/>
      <c r="X26" s="133"/>
    </row>
    <row r="27" spans="4:29" x14ac:dyDescent="0.3">
      <c r="D27" s="121" t="s">
        <v>276</v>
      </c>
      <c r="E27" s="121"/>
      <c r="F27" s="121"/>
      <c r="G27" s="121"/>
      <c r="H27" s="12">
        <v>21</v>
      </c>
      <c r="I27" s="12" t="s">
        <v>147</v>
      </c>
      <c r="O27" s="13" t="s">
        <v>228</v>
      </c>
      <c r="P27" s="13"/>
      <c r="Q27" s="13"/>
      <c r="R27" s="13"/>
      <c r="S27" s="13"/>
      <c r="T27" s="13"/>
      <c r="U27" s="13"/>
      <c r="V27" s="13"/>
      <c r="W27" s="13"/>
      <c r="X27" s="13"/>
    </row>
    <row r="28" spans="4:29" x14ac:dyDescent="0.3">
      <c r="D28" s="159" t="s">
        <v>208</v>
      </c>
      <c r="E28" s="160"/>
      <c r="F28" s="160"/>
      <c r="G28" s="160"/>
      <c r="H28" s="160"/>
      <c r="I28" s="160"/>
      <c r="J28" s="160"/>
      <c r="K28" s="160"/>
      <c r="L28" s="160"/>
      <c r="M28" s="161"/>
      <c r="R28" s="43" t="s">
        <v>205</v>
      </c>
      <c r="S28" s="13" t="s">
        <v>220</v>
      </c>
      <c r="T28" t="s">
        <v>226</v>
      </c>
    </row>
    <row r="29" spans="4:29" x14ac:dyDescent="0.3">
      <c r="D29" s="162" t="s">
        <v>321</v>
      </c>
      <c r="E29" s="163"/>
      <c r="F29" s="163"/>
      <c r="G29" s="163"/>
      <c r="H29" s="163"/>
      <c r="I29" s="163"/>
      <c r="J29" s="163"/>
      <c r="K29" s="163"/>
      <c r="L29" s="163"/>
      <c r="M29" s="164"/>
    </row>
    <row r="30" spans="4:29" x14ac:dyDescent="0.3">
      <c r="D30" s="167" t="s">
        <v>322</v>
      </c>
      <c r="E30" s="168"/>
      <c r="F30" s="168"/>
      <c r="G30" s="168"/>
      <c r="H30" s="168"/>
      <c r="I30" s="168"/>
      <c r="J30" s="168"/>
      <c r="K30" s="168"/>
      <c r="L30" s="168"/>
      <c r="M30" s="169"/>
      <c r="O30" s="80"/>
      <c r="P30" s="79" t="s">
        <v>218</v>
      </c>
      <c r="Q30" s="79" t="s">
        <v>219</v>
      </c>
      <c r="R30" s="79" t="s">
        <v>224</v>
      </c>
      <c r="S30" s="79" t="s">
        <v>223</v>
      </c>
      <c r="T30" s="79" t="s">
        <v>206</v>
      </c>
      <c r="U30" s="79" t="s">
        <v>227</v>
      </c>
    </row>
    <row r="31" spans="4:29" x14ac:dyDescent="0.3">
      <c r="O31" s="79" t="s">
        <v>150</v>
      </c>
      <c r="P31" s="80">
        <v>0.27760000000000001</v>
      </c>
      <c r="Q31" s="80">
        <v>25.725657251380454</v>
      </c>
      <c r="R31" s="80">
        <v>410</v>
      </c>
      <c r="S31" s="80">
        <v>31.874793012567185</v>
      </c>
      <c r="T31" s="80">
        <v>1.3713530837216605</v>
      </c>
      <c r="U31" s="80">
        <f>Q31*T31/9.81</f>
        <v>3.5962242000455742</v>
      </c>
    </row>
    <row r="32" spans="4:29" x14ac:dyDescent="0.3">
      <c r="D32" s="159" t="s">
        <v>145</v>
      </c>
      <c r="E32" s="160"/>
      <c r="F32" s="160"/>
      <c r="G32" s="160"/>
      <c r="H32" s="160"/>
      <c r="I32" s="160"/>
      <c r="J32" s="160"/>
      <c r="K32" s="160"/>
      <c r="L32" s="160"/>
      <c r="M32" s="161"/>
      <c r="O32" s="79" t="s">
        <v>320</v>
      </c>
      <c r="P32" s="80">
        <v>0.23880000000000001</v>
      </c>
      <c r="Q32" s="80">
        <v>18.48039813546518</v>
      </c>
      <c r="R32" s="80">
        <v>650</v>
      </c>
      <c r="S32" s="80">
        <v>70.3448048289181</v>
      </c>
      <c r="T32" s="80">
        <v>0.8682868119153172</v>
      </c>
      <c r="U32" s="80">
        <f t="shared" ref="U32:U33" si="6">Q32*T32/9.81</f>
        <v>1.6357070315972306</v>
      </c>
    </row>
    <row r="33" spans="4:21" x14ac:dyDescent="0.3">
      <c r="D33" s="162" t="s">
        <v>216</v>
      </c>
      <c r="E33" s="163"/>
      <c r="F33" s="163"/>
      <c r="G33" s="163"/>
      <c r="H33" s="163"/>
      <c r="I33" s="163"/>
      <c r="J33" s="163"/>
      <c r="K33" s="163"/>
      <c r="L33" s="163"/>
      <c r="M33" s="164"/>
      <c r="O33" s="79" t="s">
        <v>145</v>
      </c>
      <c r="P33" s="80">
        <v>0.1234</v>
      </c>
      <c r="Q33" s="80">
        <v>40.488113613067078</v>
      </c>
      <c r="R33" s="80">
        <v>570</v>
      </c>
      <c r="S33" s="80">
        <v>28.156411802600701</v>
      </c>
      <c r="T33" s="80">
        <v>1.2542123078830381</v>
      </c>
      <c r="U33" s="80">
        <f t="shared" si="6"/>
        <v>5.1764210414348124</v>
      </c>
    </row>
    <row r="34" spans="4:21" x14ac:dyDescent="0.3">
      <c r="D34" s="167" t="s">
        <v>217</v>
      </c>
      <c r="E34" s="168"/>
      <c r="F34" s="168"/>
      <c r="G34" s="168"/>
      <c r="H34" s="168"/>
      <c r="I34" s="168"/>
      <c r="J34" s="168"/>
      <c r="K34" s="168"/>
      <c r="L34" s="168"/>
      <c r="M34" s="169"/>
    </row>
    <row r="35" spans="4:21" x14ac:dyDescent="0.3">
      <c r="O35" s="143" t="s">
        <v>229</v>
      </c>
      <c r="P35" s="127"/>
      <c r="Q35" s="127"/>
      <c r="R35" s="127"/>
      <c r="S35" s="127"/>
      <c r="T35" s="170"/>
    </row>
    <row r="36" spans="4:21" x14ac:dyDescent="0.3">
      <c r="D36" s="159" t="s">
        <v>320</v>
      </c>
      <c r="E36" s="160"/>
      <c r="F36" s="160"/>
      <c r="G36" s="160"/>
      <c r="H36" s="160"/>
      <c r="I36" s="160"/>
      <c r="J36" s="160"/>
      <c r="K36" s="160"/>
      <c r="L36" s="160"/>
      <c r="M36" s="161"/>
      <c r="O36" s="120" t="s">
        <v>230</v>
      </c>
      <c r="P36" s="137"/>
      <c r="Q36" s="137"/>
      <c r="R36" s="137"/>
      <c r="S36" s="137"/>
      <c r="T36" s="146"/>
    </row>
    <row r="37" spans="4:21" x14ac:dyDescent="0.3">
      <c r="D37" s="162" t="s">
        <v>323</v>
      </c>
      <c r="E37" s="163"/>
      <c r="F37" s="163"/>
      <c r="G37" s="163"/>
      <c r="H37" s="163"/>
      <c r="I37" s="163"/>
      <c r="J37" s="163"/>
      <c r="K37" s="163"/>
      <c r="L37" s="163"/>
      <c r="M37" s="164"/>
      <c r="O37" s="151" t="s">
        <v>231</v>
      </c>
      <c r="P37" s="152"/>
      <c r="Q37" s="152"/>
      <c r="R37" s="152"/>
      <c r="S37" s="152"/>
      <c r="T37" s="171"/>
    </row>
    <row r="38" spans="4:21" x14ac:dyDescent="0.3">
      <c r="D38" s="167" t="s">
        <v>324</v>
      </c>
      <c r="E38" s="168"/>
      <c r="F38" s="168"/>
      <c r="G38" s="168"/>
      <c r="H38" s="168"/>
      <c r="I38" s="168"/>
      <c r="J38" s="168"/>
      <c r="K38" s="168"/>
      <c r="L38" s="168"/>
      <c r="M38" s="169"/>
    </row>
  </sheetData>
  <mergeCells count="31">
    <mergeCell ref="D36:M36"/>
    <mergeCell ref="D37:M37"/>
    <mergeCell ref="D38:M38"/>
    <mergeCell ref="Z18:AC18"/>
    <mergeCell ref="D2:G2"/>
    <mergeCell ref="D30:M30"/>
    <mergeCell ref="O35:T35"/>
    <mergeCell ref="O36:T36"/>
    <mergeCell ref="O37:T37"/>
    <mergeCell ref="D4:E4"/>
    <mergeCell ref="D5:E5"/>
    <mergeCell ref="D6:E6"/>
    <mergeCell ref="D7:E7"/>
    <mergeCell ref="D34:M34"/>
    <mergeCell ref="O1:X1"/>
    <mergeCell ref="Q23:R23"/>
    <mergeCell ref="R18:S18"/>
    <mergeCell ref="O16:X16"/>
    <mergeCell ref="O26:X26"/>
    <mergeCell ref="D1:M1"/>
    <mergeCell ref="D24:I24"/>
    <mergeCell ref="D28:M28"/>
    <mergeCell ref="D32:M32"/>
    <mergeCell ref="D33:M33"/>
    <mergeCell ref="D22:M22"/>
    <mergeCell ref="D29:M29"/>
    <mergeCell ref="D26:G26"/>
    <mergeCell ref="D27:G27"/>
    <mergeCell ref="D23:F23"/>
    <mergeCell ref="I23:J23"/>
    <mergeCell ref="D25:G2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6519-5325-4827-8230-0EB56E963B08}">
  <dimension ref="A1:AS62"/>
  <sheetViews>
    <sheetView zoomScale="60" zoomScaleNormal="60" workbookViewId="0">
      <selection activeCell="I59" sqref="I59"/>
    </sheetView>
  </sheetViews>
  <sheetFormatPr defaultRowHeight="14.4" x14ac:dyDescent="0.3"/>
  <cols>
    <col min="7" max="7" width="10" bestFit="1" customWidth="1"/>
    <col min="8" max="8" width="10" customWidth="1"/>
  </cols>
  <sheetData>
    <row r="1" spans="1:21" x14ac:dyDescent="0.3">
      <c r="A1" s="207" t="s">
        <v>155</v>
      </c>
      <c r="B1" s="207"/>
      <c r="C1" s="207"/>
      <c r="D1" s="207"/>
      <c r="J1" s="113" t="s">
        <v>161</v>
      </c>
      <c r="K1" s="113"/>
      <c r="L1" s="113"/>
      <c r="N1" s="113" t="s">
        <v>160</v>
      </c>
      <c r="O1" s="113"/>
      <c r="P1" s="113"/>
      <c r="Q1" s="15" t="s">
        <v>172</v>
      </c>
      <c r="R1" s="15" t="s">
        <v>173</v>
      </c>
    </row>
    <row r="2" spans="1:21" x14ac:dyDescent="0.3">
      <c r="A2" s="113" t="s">
        <v>156</v>
      </c>
      <c r="B2" s="113"/>
      <c r="C2" s="113"/>
      <c r="D2" s="15" t="s">
        <v>32</v>
      </c>
      <c r="F2" s="113" t="s">
        <v>156</v>
      </c>
      <c r="G2" s="113"/>
      <c r="H2" s="113"/>
      <c r="I2" s="113"/>
      <c r="J2" s="113" t="s">
        <v>160</v>
      </c>
      <c r="K2" s="113"/>
      <c r="L2" s="113"/>
      <c r="N2" s="124" t="s">
        <v>171</v>
      </c>
      <c r="O2" s="124"/>
      <c r="P2" s="124"/>
      <c r="Q2" s="16">
        <v>1.55</v>
      </c>
      <c r="R2" s="16">
        <v>0.5</v>
      </c>
    </row>
    <row r="3" spans="1:21" x14ac:dyDescent="0.3">
      <c r="A3" s="124">
        <v>150</v>
      </c>
      <c r="B3" s="124"/>
      <c r="C3" s="124"/>
      <c r="D3" s="16">
        <v>10</v>
      </c>
      <c r="F3" s="124">
        <v>160</v>
      </c>
      <c r="G3" s="124"/>
      <c r="H3" s="124"/>
      <c r="I3" s="124"/>
      <c r="J3" s="124">
        <v>141.1</v>
      </c>
      <c r="K3" s="124"/>
      <c r="L3" s="124"/>
      <c r="N3" s="124" t="s">
        <v>170</v>
      </c>
      <c r="O3" s="124"/>
      <c r="P3" s="124"/>
      <c r="Q3" s="16">
        <v>1.85</v>
      </c>
      <c r="R3" s="16">
        <v>0.5</v>
      </c>
    </row>
    <row r="4" spans="1:21" x14ac:dyDescent="0.3">
      <c r="A4" s="124">
        <v>175</v>
      </c>
      <c r="B4" s="124"/>
      <c r="C4" s="124"/>
      <c r="D4" s="16">
        <v>13.6</v>
      </c>
      <c r="F4" s="124">
        <v>180</v>
      </c>
      <c r="G4" s="124"/>
      <c r="H4" s="124"/>
      <c r="I4" s="124"/>
      <c r="J4" s="124">
        <v>158.6</v>
      </c>
      <c r="K4" s="124"/>
      <c r="L4" s="124"/>
      <c r="N4" s="124" t="s">
        <v>169</v>
      </c>
      <c r="O4" s="124"/>
      <c r="P4" s="124"/>
      <c r="Q4" s="16">
        <v>2</v>
      </c>
      <c r="R4" s="16">
        <v>0.5</v>
      </c>
    </row>
    <row r="5" spans="1:21" x14ac:dyDescent="0.3">
      <c r="A5" s="124">
        <v>200</v>
      </c>
      <c r="B5" s="124"/>
      <c r="C5" s="124"/>
      <c r="D5" s="16">
        <v>17.8</v>
      </c>
      <c r="F5" s="124">
        <v>200</v>
      </c>
      <c r="G5" s="124"/>
      <c r="H5" s="124"/>
      <c r="I5" s="124"/>
      <c r="J5" s="124">
        <v>176.2</v>
      </c>
      <c r="K5" s="124"/>
      <c r="L5" s="124"/>
      <c r="N5" s="124" t="s">
        <v>168</v>
      </c>
      <c r="O5" s="124"/>
      <c r="P5" s="124"/>
      <c r="Q5" s="16">
        <v>2.1</v>
      </c>
      <c r="R5" s="16">
        <v>0.5</v>
      </c>
    </row>
    <row r="6" spans="1:21" x14ac:dyDescent="0.3">
      <c r="A6" s="124">
        <v>250</v>
      </c>
      <c r="B6" s="124"/>
      <c r="C6" s="124"/>
      <c r="D6" s="16">
        <v>27.8</v>
      </c>
      <c r="F6" s="124">
        <v>250</v>
      </c>
      <c r="G6" s="124"/>
      <c r="H6" s="124"/>
      <c r="I6" s="124"/>
      <c r="J6" s="124">
        <v>220.4</v>
      </c>
      <c r="K6" s="124"/>
      <c r="L6" s="124"/>
      <c r="N6" s="124" t="s">
        <v>167</v>
      </c>
      <c r="O6" s="124"/>
      <c r="P6" s="124"/>
      <c r="Q6" s="16">
        <v>2.2000000000000002</v>
      </c>
      <c r="R6" s="16">
        <v>0.5</v>
      </c>
    </row>
    <row r="7" spans="1:21" x14ac:dyDescent="0.3">
      <c r="A7" s="124">
        <v>300</v>
      </c>
      <c r="B7" s="124"/>
      <c r="C7" s="124"/>
      <c r="D7" s="16">
        <v>40</v>
      </c>
      <c r="F7" s="124">
        <v>280</v>
      </c>
      <c r="G7" s="124"/>
      <c r="H7" s="124"/>
      <c r="I7" s="124"/>
      <c r="J7" s="124">
        <v>246.8</v>
      </c>
      <c r="K7" s="124"/>
      <c r="L7" s="124"/>
      <c r="N7" s="124" t="s">
        <v>166</v>
      </c>
      <c r="O7" s="124"/>
      <c r="P7" s="124"/>
      <c r="Q7" s="16">
        <v>2.2999999999999998</v>
      </c>
      <c r="R7" s="16">
        <v>0.7</v>
      </c>
    </row>
    <row r="8" spans="1:21" x14ac:dyDescent="0.3">
      <c r="A8" s="124">
        <v>350</v>
      </c>
      <c r="B8" s="124"/>
      <c r="C8" s="124"/>
      <c r="D8" s="16">
        <v>54.4</v>
      </c>
      <c r="F8" s="124">
        <v>315</v>
      </c>
      <c r="G8" s="124"/>
      <c r="H8" s="124"/>
      <c r="I8" s="124"/>
      <c r="J8" s="124">
        <v>277.60000000000002</v>
      </c>
      <c r="K8" s="124"/>
      <c r="L8" s="124"/>
      <c r="N8" s="124" t="s">
        <v>164</v>
      </c>
      <c r="O8" s="124"/>
      <c r="P8" s="124"/>
      <c r="Q8" s="16">
        <v>2.4</v>
      </c>
      <c r="R8" s="16">
        <v>0.7</v>
      </c>
    </row>
    <row r="9" spans="1:21" x14ac:dyDescent="0.3">
      <c r="A9" s="124">
        <v>400</v>
      </c>
      <c r="B9" s="124"/>
      <c r="C9" s="124"/>
      <c r="D9" s="16">
        <v>70</v>
      </c>
      <c r="F9" s="124">
        <v>355</v>
      </c>
      <c r="G9" s="124"/>
      <c r="H9" s="124"/>
      <c r="I9" s="124"/>
      <c r="J9" s="124">
        <v>312.8</v>
      </c>
      <c r="K9" s="124"/>
      <c r="L9" s="124"/>
      <c r="N9" s="124" t="s">
        <v>165</v>
      </c>
      <c r="O9" s="124"/>
      <c r="P9" s="124"/>
      <c r="Q9" s="16">
        <v>2.5</v>
      </c>
      <c r="R9" s="16">
        <v>0.7</v>
      </c>
    </row>
    <row r="11" spans="1:21" x14ac:dyDescent="0.3">
      <c r="A11" s="121" t="s">
        <v>274</v>
      </c>
      <c r="B11" s="121"/>
      <c r="C11">
        <v>8.3000000000000004E-2</v>
      </c>
      <c r="D11" t="s">
        <v>177</v>
      </c>
      <c r="M11" s="78" t="s">
        <v>183</v>
      </c>
    </row>
    <row r="12" spans="1:21" x14ac:dyDescent="0.3">
      <c r="B12" t="s">
        <v>194</v>
      </c>
      <c r="C12">
        <v>0.5</v>
      </c>
      <c r="D12" t="s">
        <v>195</v>
      </c>
      <c r="M12" s="53" t="s">
        <v>184</v>
      </c>
    </row>
    <row r="13" spans="1:21" x14ac:dyDescent="0.3">
      <c r="P13" s="13"/>
      <c r="S13" s="113" t="s">
        <v>192</v>
      </c>
      <c r="T13" s="113"/>
      <c r="U13" s="113"/>
    </row>
    <row r="14" spans="1:21" x14ac:dyDescent="0.3">
      <c r="R14" s="73" t="s">
        <v>188</v>
      </c>
      <c r="S14" s="124" t="s">
        <v>193</v>
      </c>
      <c r="T14" s="124"/>
      <c r="U14" s="124"/>
    </row>
    <row r="15" spans="1:21" x14ac:dyDescent="0.3">
      <c r="A15" s="208" t="s">
        <v>275</v>
      </c>
      <c r="B15" s="208"/>
      <c r="C15" s="208"/>
      <c r="D15" s="208"/>
      <c r="E15" s="208"/>
      <c r="L15" s="186" t="s">
        <v>178</v>
      </c>
      <c r="M15" s="186"/>
      <c r="N15" s="186"/>
      <c r="R15" s="44" t="s">
        <v>191</v>
      </c>
      <c r="S15" s="128" t="s">
        <v>273</v>
      </c>
      <c r="T15" s="191"/>
      <c r="U15" s="129"/>
    </row>
    <row r="16" spans="1:21" x14ac:dyDescent="0.3">
      <c r="A16" s="113" t="s">
        <v>156</v>
      </c>
      <c r="B16" s="113"/>
      <c r="C16" s="113"/>
      <c r="D16" s="113" t="s">
        <v>196</v>
      </c>
      <c r="E16" s="113"/>
      <c r="F16" s="113"/>
      <c r="G16" s="15" t="s">
        <v>175</v>
      </c>
      <c r="H16" s="15" t="s">
        <v>76</v>
      </c>
      <c r="I16" s="15" t="s">
        <v>176</v>
      </c>
      <c r="J16" s="15" t="s">
        <v>162</v>
      </c>
      <c r="K16" s="15" t="s">
        <v>163</v>
      </c>
      <c r="L16" s="113" t="s">
        <v>181</v>
      </c>
      <c r="M16" s="113"/>
      <c r="N16" s="113"/>
      <c r="O16" s="73" t="s">
        <v>182</v>
      </c>
      <c r="P16" s="73" t="s">
        <v>185</v>
      </c>
      <c r="Q16" s="73" t="s">
        <v>186</v>
      </c>
      <c r="R16" s="73" t="s">
        <v>208</v>
      </c>
      <c r="S16" s="193" t="s">
        <v>208</v>
      </c>
      <c r="T16" s="194"/>
      <c r="U16" s="195"/>
    </row>
    <row r="17" spans="1:23" x14ac:dyDescent="0.3">
      <c r="A17" s="175">
        <v>160</v>
      </c>
      <c r="B17" s="175"/>
      <c r="C17" s="175"/>
      <c r="D17" s="175">
        <v>141.1</v>
      </c>
      <c r="E17" s="175"/>
      <c r="F17" s="175"/>
      <c r="G17" s="75">
        <f t="shared" ref="G17:G23" si="0">PI()*((D17*0.001)^2)/4</f>
        <v>1.563665696869411E-2</v>
      </c>
      <c r="H17" s="74">
        <f>83/1000</f>
        <v>8.3000000000000004E-2</v>
      </c>
      <c r="I17" s="74">
        <f>H17/G17</f>
        <v>5.3080399580404505</v>
      </c>
      <c r="J17" s="74">
        <v>1.85</v>
      </c>
      <c r="K17" s="74">
        <v>0.5</v>
      </c>
      <c r="L17" s="178" t="s">
        <v>179</v>
      </c>
      <c r="M17" s="178"/>
      <c r="N17" s="178"/>
      <c r="O17" s="75">
        <f>(I17*(D17/1000))/(10^(-6))</f>
        <v>748964.43807950767</v>
      </c>
      <c r="P17" s="75">
        <f t="shared" ref="P17:P23" si="1">$C$12/D17</f>
        <v>3.5435861091424525E-3</v>
      </c>
      <c r="Q17" s="74">
        <v>2.8000000000000001E-2</v>
      </c>
      <c r="R17" s="75">
        <f>Q17*(410/(D17/1000)*(I17^2)/(2*9.81))</f>
        <v>116.83803336817269</v>
      </c>
      <c r="S17" s="209" t="s">
        <v>179</v>
      </c>
      <c r="T17" s="210"/>
      <c r="U17" s="211"/>
    </row>
    <row r="18" spans="1:23" x14ac:dyDescent="0.3">
      <c r="A18" s="175">
        <v>180</v>
      </c>
      <c r="B18" s="175"/>
      <c r="C18" s="175"/>
      <c r="D18" s="175">
        <v>158.6</v>
      </c>
      <c r="E18" s="175"/>
      <c r="F18" s="175"/>
      <c r="G18" s="75">
        <f t="shared" si="0"/>
        <v>1.9755873986172876E-2</v>
      </c>
      <c r="H18" s="82">
        <f t="shared" ref="H18:H23" si="2">83/1000</f>
        <v>8.3000000000000004E-2</v>
      </c>
      <c r="I18" s="74">
        <f t="shared" ref="I18:I23" si="3">H18/G18</f>
        <v>4.2012821127575348</v>
      </c>
      <c r="J18" s="74">
        <v>2</v>
      </c>
      <c r="K18" s="74">
        <v>0.5</v>
      </c>
      <c r="L18" s="178" t="s">
        <v>179</v>
      </c>
      <c r="M18" s="178"/>
      <c r="N18" s="178"/>
      <c r="O18" s="75">
        <f t="shared" ref="O18:O23" si="4">(I18*(D18/1000))/(10^(-6))</f>
        <v>666323.34308334498</v>
      </c>
      <c r="P18" s="75">
        <f t="shared" si="1"/>
        <v>3.1525851197982345E-3</v>
      </c>
      <c r="Q18" s="74">
        <v>2.7E-2</v>
      </c>
      <c r="R18" s="75">
        <f t="shared" ref="R18:R23" si="5">Q18*(410/(D18/1000)*(I18^2)/(2*9.81))</f>
        <v>62.792695289346554</v>
      </c>
      <c r="S18" s="209" t="s">
        <v>179</v>
      </c>
      <c r="T18" s="210"/>
      <c r="U18" s="211"/>
    </row>
    <row r="19" spans="1:23" x14ac:dyDescent="0.3">
      <c r="A19" s="183">
        <v>200</v>
      </c>
      <c r="B19" s="183"/>
      <c r="C19" s="183"/>
      <c r="D19" s="183">
        <v>176.2</v>
      </c>
      <c r="E19" s="183"/>
      <c r="F19" s="183"/>
      <c r="G19" s="87">
        <f t="shared" si="0"/>
        <v>2.4383816956029071E-2</v>
      </c>
      <c r="H19" s="82">
        <f t="shared" si="2"/>
        <v>8.3000000000000004E-2</v>
      </c>
      <c r="I19" s="88">
        <f t="shared" si="3"/>
        <v>3.4038969431927955</v>
      </c>
      <c r="J19" s="88">
        <v>2</v>
      </c>
      <c r="K19" s="88">
        <v>0.5</v>
      </c>
      <c r="L19" s="178" t="s">
        <v>179</v>
      </c>
      <c r="M19" s="178"/>
      <c r="N19" s="178"/>
      <c r="O19" s="87">
        <f t="shared" si="4"/>
        <v>599766.64139057056</v>
      </c>
      <c r="P19" s="87">
        <f t="shared" si="1"/>
        <v>2.8376844494892172E-3</v>
      </c>
      <c r="Q19" s="88">
        <v>2.5999999999999999E-2</v>
      </c>
      <c r="R19" s="75">
        <f t="shared" si="5"/>
        <v>35.727703640072718</v>
      </c>
      <c r="S19" s="209" t="s">
        <v>179</v>
      </c>
      <c r="T19" s="210"/>
      <c r="U19" s="211"/>
    </row>
    <row r="20" spans="1:23" x14ac:dyDescent="0.3">
      <c r="A20" s="175">
        <v>250</v>
      </c>
      <c r="B20" s="175"/>
      <c r="C20" s="175"/>
      <c r="D20" s="175">
        <v>220.4</v>
      </c>
      <c r="E20" s="175"/>
      <c r="F20" s="175"/>
      <c r="G20" s="75">
        <f t="shared" si="0"/>
        <v>3.8151626848900597E-2</v>
      </c>
      <c r="H20" s="82">
        <f t="shared" si="2"/>
        <v>8.3000000000000004E-2</v>
      </c>
      <c r="I20" s="74">
        <f t="shared" si="3"/>
        <v>2.1755297704268615</v>
      </c>
      <c r="J20" s="74">
        <v>2</v>
      </c>
      <c r="K20" s="74">
        <v>0.5</v>
      </c>
      <c r="L20" s="178" t="s">
        <v>179</v>
      </c>
      <c r="M20" s="178"/>
      <c r="N20" s="178"/>
      <c r="O20" s="75">
        <f t="shared" si="4"/>
        <v>479486.7614020803</v>
      </c>
      <c r="P20" s="75">
        <f t="shared" si="1"/>
        <v>2.2686025408348459E-3</v>
      </c>
      <c r="Q20" s="74">
        <v>2.4E-2</v>
      </c>
      <c r="R20" s="75">
        <f t="shared" si="5"/>
        <v>10.769971808974267</v>
      </c>
      <c r="S20" s="188" t="s">
        <v>180</v>
      </c>
      <c r="T20" s="189"/>
      <c r="U20" s="190"/>
    </row>
    <row r="21" spans="1:23" x14ac:dyDescent="0.3">
      <c r="A21" s="173">
        <v>280</v>
      </c>
      <c r="B21" s="173"/>
      <c r="C21" s="173"/>
      <c r="D21" s="173">
        <v>246.8</v>
      </c>
      <c r="E21" s="173"/>
      <c r="F21" s="173"/>
      <c r="G21" s="84">
        <f t="shared" si="0"/>
        <v>4.7838790628097802E-2</v>
      </c>
      <c r="H21" s="81">
        <f t="shared" si="2"/>
        <v>8.3000000000000004E-2</v>
      </c>
      <c r="I21" s="46">
        <f t="shared" si="3"/>
        <v>1.7349936925715361</v>
      </c>
      <c r="J21" s="46">
        <v>2</v>
      </c>
      <c r="K21" s="46">
        <v>0.5</v>
      </c>
      <c r="L21" s="177" t="s">
        <v>180</v>
      </c>
      <c r="M21" s="177"/>
      <c r="N21" s="177"/>
      <c r="O21" s="84">
        <f t="shared" si="4"/>
        <v>428196.44332665514</v>
      </c>
      <c r="P21" s="84">
        <f t="shared" si="1"/>
        <v>2.0259319286871961E-3</v>
      </c>
      <c r="Q21" s="46">
        <v>2.4E-2</v>
      </c>
      <c r="R21" s="84">
        <f t="shared" si="5"/>
        <v>6.1171163439441889</v>
      </c>
      <c r="S21" s="201" t="s">
        <v>180</v>
      </c>
      <c r="T21" s="202"/>
      <c r="U21" s="203"/>
    </row>
    <row r="22" spans="1:23" x14ac:dyDescent="0.3">
      <c r="A22" s="204">
        <v>315</v>
      </c>
      <c r="B22" s="204"/>
      <c r="C22" s="204"/>
      <c r="D22" s="204">
        <v>277.60000000000002</v>
      </c>
      <c r="E22" s="204"/>
      <c r="F22" s="204"/>
      <c r="G22" s="76">
        <f t="shared" si="0"/>
        <v>6.0524164772174947E-2</v>
      </c>
      <c r="H22" s="83">
        <f t="shared" si="2"/>
        <v>8.3000000000000004E-2</v>
      </c>
      <c r="I22" s="77">
        <f t="shared" si="3"/>
        <v>1.3713530837216605</v>
      </c>
      <c r="J22" s="77">
        <v>2</v>
      </c>
      <c r="K22" s="77">
        <v>0.5</v>
      </c>
      <c r="L22" s="196" t="s">
        <v>180</v>
      </c>
      <c r="M22" s="196"/>
      <c r="N22" s="196"/>
      <c r="O22" s="76">
        <f t="shared" si="4"/>
        <v>380687.61604113301</v>
      </c>
      <c r="P22" s="76">
        <f t="shared" si="1"/>
        <v>1.8011527377521613E-3</v>
      </c>
      <c r="Q22" s="77">
        <v>2.3E-2</v>
      </c>
      <c r="R22" s="76">
        <f t="shared" si="5"/>
        <v>3.2560555292261024</v>
      </c>
      <c r="S22" s="198" t="s">
        <v>180</v>
      </c>
      <c r="T22" s="199"/>
      <c r="U22" s="200"/>
    </row>
    <row r="23" spans="1:23" x14ac:dyDescent="0.3">
      <c r="A23" s="173">
        <v>355</v>
      </c>
      <c r="B23" s="173"/>
      <c r="C23" s="173"/>
      <c r="D23" s="173">
        <v>312.8</v>
      </c>
      <c r="E23" s="173"/>
      <c r="F23" s="173"/>
      <c r="G23" s="84">
        <f t="shared" si="0"/>
        <v>7.6846372235753801E-2</v>
      </c>
      <c r="H23" s="81">
        <f t="shared" si="2"/>
        <v>8.3000000000000004E-2</v>
      </c>
      <c r="I23" s="46">
        <f t="shared" si="3"/>
        <v>1.0800770106019806</v>
      </c>
      <c r="J23" s="46">
        <v>2</v>
      </c>
      <c r="K23" s="46">
        <v>0.5</v>
      </c>
      <c r="L23" s="177" t="s">
        <v>180</v>
      </c>
      <c r="M23" s="177"/>
      <c r="N23" s="177"/>
      <c r="O23" s="84">
        <f t="shared" si="4"/>
        <v>337848.08891629952</v>
      </c>
      <c r="P23" s="84">
        <f t="shared" si="1"/>
        <v>1.59846547314578E-3</v>
      </c>
      <c r="Q23" s="46">
        <v>2.3E-2</v>
      </c>
      <c r="R23" s="84">
        <f t="shared" si="5"/>
        <v>1.7924844209865136</v>
      </c>
      <c r="S23" s="201" t="s">
        <v>180</v>
      </c>
      <c r="T23" s="202"/>
      <c r="U23" s="203"/>
    </row>
    <row r="25" spans="1:23" x14ac:dyDescent="0.3">
      <c r="P25" s="121" t="s">
        <v>187</v>
      </c>
      <c r="Q25" s="121"/>
      <c r="R25" s="121"/>
      <c r="S25" s="121"/>
      <c r="T25" s="121"/>
      <c r="U25" s="121"/>
      <c r="V25" s="121"/>
      <c r="W25" s="121"/>
    </row>
    <row r="26" spans="1:23" x14ac:dyDescent="0.3">
      <c r="P26" s="121" t="s">
        <v>189</v>
      </c>
      <c r="Q26" s="121"/>
      <c r="R26" s="121"/>
      <c r="S26" s="121"/>
      <c r="T26" s="121"/>
      <c r="U26" s="121"/>
      <c r="V26" s="121"/>
      <c r="W26" s="121"/>
    </row>
    <row r="28" spans="1:23" x14ac:dyDescent="0.3">
      <c r="A28" s="121" t="s">
        <v>207</v>
      </c>
      <c r="B28" s="121"/>
      <c r="C28" s="43">
        <v>1270</v>
      </c>
      <c r="D28" t="s">
        <v>212</v>
      </c>
      <c r="E28" s="43">
        <f>(1270)/(24*60*60)</f>
        <v>1.4699074074074074E-2</v>
      </c>
      <c r="F28" t="s">
        <v>214</v>
      </c>
      <c r="G28" s="43">
        <v>1.4999999999999999E-2</v>
      </c>
      <c r="H28" t="s">
        <v>177</v>
      </c>
      <c r="S28" s="113" t="s">
        <v>192</v>
      </c>
      <c r="T28" s="113"/>
      <c r="U28" s="113"/>
    </row>
    <row r="29" spans="1:23" x14ac:dyDescent="0.3">
      <c r="R29" s="73" t="s">
        <v>188</v>
      </c>
      <c r="S29" s="124" t="s">
        <v>193</v>
      </c>
      <c r="T29" s="124"/>
      <c r="U29" s="124"/>
    </row>
    <row r="30" spans="1:23" x14ac:dyDescent="0.3">
      <c r="A30" s="187" t="s">
        <v>209</v>
      </c>
      <c r="B30" s="187"/>
      <c r="C30" s="187"/>
      <c r="D30" s="187"/>
      <c r="E30" s="187"/>
      <c r="H30" t="s">
        <v>177</v>
      </c>
      <c r="L30" s="186" t="s">
        <v>178</v>
      </c>
      <c r="M30" s="186"/>
      <c r="N30" s="186"/>
      <c r="R30" s="45" t="s">
        <v>190</v>
      </c>
      <c r="S30" s="128" t="s">
        <v>211</v>
      </c>
      <c r="T30" s="191"/>
      <c r="U30" s="129"/>
    </row>
    <row r="31" spans="1:23" x14ac:dyDescent="0.3">
      <c r="A31" s="113" t="s">
        <v>156</v>
      </c>
      <c r="B31" s="113"/>
      <c r="C31" s="113"/>
      <c r="D31" s="113" t="s">
        <v>196</v>
      </c>
      <c r="E31" s="113"/>
      <c r="F31" s="113"/>
      <c r="G31" s="42" t="s">
        <v>175</v>
      </c>
      <c r="H31" s="42" t="s">
        <v>210</v>
      </c>
      <c r="I31" s="42" t="s">
        <v>176</v>
      </c>
      <c r="J31" s="42" t="s">
        <v>162</v>
      </c>
      <c r="K31" s="42" t="s">
        <v>163</v>
      </c>
      <c r="L31" s="113" t="s">
        <v>181</v>
      </c>
      <c r="M31" s="113"/>
      <c r="N31" s="113"/>
      <c r="O31" s="73" t="s">
        <v>182</v>
      </c>
      <c r="P31" s="73" t="s">
        <v>185</v>
      </c>
      <c r="Q31" s="73" t="s">
        <v>186</v>
      </c>
      <c r="R31" s="73" t="s">
        <v>145</v>
      </c>
      <c r="S31" s="193" t="s">
        <v>145</v>
      </c>
      <c r="T31" s="194"/>
      <c r="U31" s="195"/>
    </row>
    <row r="32" spans="1:23" x14ac:dyDescent="0.3">
      <c r="A32" s="175">
        <v>90</v>
      </c>
      <c r="B32" s="175"/>
      <c r="C32" s="175"/>
      <c r="D32" s="181">
        <v>79.2</v>
      </c>
      <c r="E32" s="182"/>
      <c r="F32" s="182"/>
      <c r="G32" s="74">
        <f>PI()*((D32*0.001)^2)/4</f>
        <v>4.9265199356533706E-3</v>
      </c>
      <c r="H32" s="74">
        <f>$G$28</f>
        <v>1.4999999999999999E-2</v>
      </c>
      <c r="I32" s="74">
        <f>H32/G32</f>
        <v>3.0447456208275043</v>
      </c>
      <c r="J32" s="74">
        <v>1.55</v>
      </c>
      <c r="K32" s="74">
        <v>0.5</v>
      </c>
      <c r="L32" s="178" t="s">
        <v>179</v>
      </c>
      <c r="M32" s="178"/>
      <c r="N32" s="178"/>
      <c r="O32" s="87">
        <f>(I32*(D32/1000))/(10^(-6))</f>
        <v>241143.85316953837</v>
      </c>
      <c r="P32" s="87">
        <f t="shared" ref="P32:P42" si="6">$C$12/D32</f>
        <v>6.313131313131313E-3</v>
      </c>
      <c r="Q32" s="88">
        <v>3.3000000000000002E-2</v>
      </c>
      <c r="R32" s="87">
        <f>Q32*(570/(D32/1000)*(I32^2)/(2*9.81))</f>
        <v>112.21906346547973</v>
      </c>
      <c r="S32" s="178" t="s">
        <v>179</v>
      </c>
      <c r="T32" s="178"/>
      <c r="U32" s="178"/>
    </row>
    <row r="33" spans="1:45" x14ac:dyDescent="0.3">
      <c r="A33" s="175">
        <v>110</v>
      </c>
      <c r="B33" s="175"/>
      <c r="C33" s="175"/>
      <c r="D33" s="181">
        <v>96.8</v>
      </c>
      <c r="E33" s="182"/>
      <c r="F33" s="182"/>
      <c r="G33" s="74">
        <f>PI()*((D33*0.001)^2)/4</f>
        <v>7.3593692865933057E-3</v>
      </c>
      <c r="H33" s="74">
        <f t="shared" ref="H33:H42" si="7">$G$28</f>
        <v>1.4999999999999999E-2</v>
      </c>
      <c r="I33" s="74">
        <f>H33/G33</f>
        <v>2.0382181428679993</v>
      </c>
      <c r="J33" s="74">
        <v>1.55</v>
      </c>
      <c r="K33" s="74">
        <v>0.5</v>
      </c>
      <c r="L33" s="178" t="s">
        <v>179</v>
      </c>
      <c r="M33" s="178"/>
      <c r="N33" s="178"/>
      <c r="O33" s="87">
        <f>(I33*(D33/1000))/(10^(-6))</f>
        <v>197299.51622962233</v>
      </c>
      <c r="P33" s="87">
        <f t="shared" si="6"/>
        <v>5.1652892561983473E-3</v>
      </c>
      <c r="Q33" s="88">
        <v>3.1E-2</v>
      </c>
      <c r="R33" s="87">
        <f>Q33*(570/(D33/1000)*(I33^2)/(2*9.81))</f>
        <v>38.651247465891501</v>
      </c>
      <c r="S33" s="178" t="s">
        <v>179</v>
      </c>
      <c r="T33" s="178"/>
      <c r="U33" s="178"/>
    </row>
    <row r="34" spans="1:45" x14ac:dyDescent="0.3">
      <c r="A34" s="175">
        <v>125</v>
      </c>
      <c r="B34" s="175"/>
      <c r="C34" s="175"/>
      <c r="D34" s="181">
        <v>110.2</v>
      </c>
      <c r="E34" s="182"/>
      <c r="F34" s="182"/>
      <c r="G34" s="74">
        <f>PI()*((D34*0.001)^2)/4</f>
        <v>9.5379067122251492E-3</v>
      </c>
      <c r="H34" s="74">
        <f t="shared" si="7"/>
        <v>1.4999999999999999E-2</v>
      </c>
      <c r="I34" s="74">
        <f>H34/G34</f>
        <v>1.5726721232001408</v>
      </c>
      <c r="J34" s="74">
        <v>1.55</v>
      </c>
      <c r="K34" s="74">
        <v>0.5</v>
      </c>
      <c r="L34" s="197" t="s">
        <v>180</v>
      </c>
      <c r="M34" s="197"/>
      <c r="N34" s="197"/>
      <c r="O34" s="87">
        <f>(I34*(D34/1000))/(10^(-6))</f>
        <v>173308.46797665555</v>
      </c>
      <c r="P34" s="87">
        <f t="shared" si="6"/>
        <v>4.5372050816696917E-3</v>
      </c>
      <c r="Q34" s="88">
        <v>0.03</v>
      </c>
      <c r="R34" s="87">
        <f>Q34*(570/(D34/1000)*(I34^2)/(2*9.81))</f>
        <v>19.561037702395115</v>
      </c>
      <c r="S34" s="178" t="s">
        <v>179</v>
      </c>
      <c r="T34" s="178"/>
      <c r="U34" s="178"/>
    </row>
    <row r="35" spans="1:45" x14ac:dyDescent="0.3">
      <c r="A35" s="204">
        <v>140</v>
      </c>
      <c r="B35" s="204"/>
      <c r="C35" s="204"/>
      <c r="D35" s="205">
        <v>123.4</v>
      </c>
      <c r="E35" s="206"/>
      <c r="F35" s="206"/>
      <c r="G35" s="77">
        <f>PI()*((D35*0.001)^2)/4</f>
        <v>1.1959697657024451E-2</v>
      </c>
      <c r="H35" s="77">
        <f t="shared" si="7"/>
        <v>1.4999999999999999E-2</v>
      </c>
      <c r="I35" s="77">
        <f>H35/G35</f>
        <v>1.2542123078830381</v>
      </c>
      <c r="J35" s="77">
        <v>1.85</v>
      </c>
      <c r="K35" s="77">
        <v>0.5</v>
      </c>
      <c r="L35" s="196" t="s">
        <v>180</v>
      </c>
      <c r="M35" s="196"/>
      <c r="N35" s="196"/>
      <c r="O35" s="76">
        <f>(I35*(D35/1000))/(10^(-6))</f>
        <v>154769.79879276693</v>
      </c>
      <c r="P35" s="76">
        <f t="shared" si="6"/>
        <v>4.0518638573743921E-3</v>
      </c>
      <c r="Q35" s="77">
        <v>2.9000000000000001E-2</v>
      </c>
      <c r="R35" s="76">
        <f>Q35*(570/(D35/1000)*(I35^2)/(2*9.81))</f>
        <v>10.739914090550586</v>
      </c>
      <c r="S35" s="198" t="s">
        <v>180</v>
      </c>
      <c r="T35" s="199"/>
      <c r="U35" s="200"/>
    </row>
    <row r="36" spans="1:45" x14ac:dyDescent="0.3">
      <c r="A36" s="173">
        <v>160</v>
      </c>
      <c r="B36" s="173"/>
      <c r="C36" s="173"/>
      <c r="D36" s="173">
        <v>141.1</v>
      </c>
      <c r="E36" s="173"/>
      <c r="F36" s="173"/>
      <c r="G36" s="84">
        <f t="shared" ref="G36:G42" si="8">PI()*((D36*0.001)^2)/4</f>
        <v>1.563665696869411E-2</v>
      </c>
      <c r="H36" s="46">
        <f t="shared" si="7"/>
        <v>1.4999999999999999E-2</v>
      </c>
      <c r="I36" s="44">
        <f>H36/G36</f>
        <v>0.95928432976634648</v>
      </c>
      <c r="J36" s="44">
        <v>1.85</v>
      </c>
      <c r="K36" s="44">
        <v>0.5</v>
      </c>
      <c r="L36" s="192" t="s">
        <v>180</v>
      </c>
      <c r="M36" s="192"/>
      <c r="N36" s="192"/>
      <c r="O36" s="84">
        <f>(I36*(D36/1000))/(10^(-6))</f>
        <v>135355.01893003151</v>
      </c>
      <c r="P36" s="84">
        <f t="shared" si="6"/>
        <v>3.5435861091424525E-3</v>
      </c>
      <c r="Q36" s="46">
        <v>2.8299999999999999E-2</v>
      </c>
      <c r="R36" s="84">
        <f>Q36*(570/(D36/1000)*(I36^2)/(2*9.81))</f>
        <v>5.3620390780908176</v>
      </c>
      <c r="S36" s="201" t="s">
        <v>180</v>
      </c>
      <c r="T36" s="202"/>
      <c r="U36" s="203"/>
    </row>
    <row r="37" spans="1:45" x14ac:dyDescent="0.3">
      <c r="A37" s="173">
        <v>180</v>
      </c>
      <c r="B37" s="173"/>
      <c r="C37" s="173"/>
      <c r="D37" s="173">
        <v>158.6</v>
      </c>
      <c r="E37" s="173"/>
      <c r="F37" s="173"/>
      <c r="G37" s="84">
        <f t="shared" si="8"/>
        <v>1.9755873986172876E-2</v>
      </c>
      <c r="H37" s="46">
        <f t="shared" si="7"/>
        <v>1.4999999999999999E-2</v>
      </c>
      <c r="I37" s="44">
        <f t="shared" ref="I37:I42" si="9">H37/G37</f>
        <v>0.75926785170316891</v>
      </c>
      <c r="J37" s="44">
        <v>2</v>
      </c>
      <c r="K37" s="44">
        <v>0.5</v>
      </c>
      <c r="L37" s="177" t="s">
        <v>180</v>
      </c>
      <c r="M37" s="177"/>
      <c r="N37" s="177"/>
      <c r="O37" s="84">
        <f t="shared" ref="O37:O42" si="10">(I37*(D37/1000))/(10^(-6))</f>
        <v>120419.88128012259</v>
      </c>
      <c r="P37" s="84">
        <f t="shared" si="6"/>
        <v>3.1525851197982345E-3</v>
      </c>
      <c r="Q37" s="46">
        <v>2.76E-2</v>
      </c>
      <c r="R37" s="84">
        <f t="shared" ref="R37:R42" si="11">Q37*(570/(D37/1000)*(I37^2)/(2*9.81))</f>
        <v>2.9145517783505457</v>
      </c>
      <c r="S37" s="201" t="s">
        <v>180</v>
      </c>
      <c r="T37" s="202"/>
      <c r="U37" s="203"/>
    </row>
    <row r="38" spans="1:45" x14ac:dyDescent="0.3">
      <c r="A38" s="180">
        <v>200</v>
      </c>
      <c r="B38" s="180"/>
      <c r="C38" s="180"/>
      <c r="D38" s="180">
        <v>176.2</v>
      </c>
      <c r="E38" s="180"/>
      <c r="F38" s="180"/>
      <c r="G38" s="85">
        <f t="shared" si="8"/>
        <v>2.4383816956029071E-2</v>
      </c>
      <c r="H38" s="46">
        <f t="shared" si="7"/>
        <v>1.4999999999999999E-2</v>
      </c>
      <c r="I38" s="44">
        <f t="shared" si="9"/>
        <v>0.61516209816737255</v>
      </c>
      <c r="J38" s="44">
        <v>2</v>
      </c>
      <c r="K38" s="44">
        <v>0.5</v>
      </c>
      <c r="L38" s="177" t="s">
        <v>180</v>
      </c>
      <c r="M38" s="177"/>
      <c r="N38" s="177"/>
      <c r="O38" s="85">
        <f t="shared" si="10"/>
        <v>108391.56169709103</v>
      </c>
      <c r="P38" s="85">
        <f t="shared" si="6"/>
        <v>2.8376844494892172E-3</v>
      </c>
      <c r="Q38" s="86">
        <v>2.7E-2</v>
      </c>
      <c r="R38" s="85">
        <f t="shared" si="11"/>
        <v>1.684662279121619</v>
      </c>
      <c r="S38" s="201" t="s">
        <v>180</v>
      </c>
      <c r="T38" s="202"/>
      <c r="U38" s="203"/>
    </row>
    <row r="39" spans="1:45" x14ac:dyDescent="0.3">
      <c r="A39" s="175">
        <v>250</v>
      </c>
      <c r="B39" s="175"/>
      <c r="C39" s="175"/>
      <c r="D39" s="175">
        <v>220.4</v>
      </c>
      <c r="E39" s="175"/>
      <c r="F39" s="175"/>
      <c r="G39" s="75">
        <f t="shared" si="8"/>
        <v>3.8151626848900597E-2</v>
      </c>
      <c r="H39" s="74">
        <f t="shared" si="7"/>
        <v>1.4999999999999999E-2</v>
      </c>
      <c r="I39" s="74">
        <f t="shared" si="9"/>
        <v>0.39316803080003521</v>
      </c>
      <c r="J39" s="74">
        <v>2</v>
      </c>
      <c r="K39" s="74">
        <v>0.5</v>
      </c>
      <c r="L39" s="178" t="s">
        <v>179</v>
      </c>
      <c r="M39" s="178"/>
      <c r="N39" s="178"/>
      <c r="O39" s="87">
        <f t="shared" si="10"/>
        <v>86654.233988327775</v>
      </c>
      <c r="P39" s="87">
        <f t="shared" si="6"/>
        <v>2.2686025408348459E-3</v>
      </c>
      <c r="Q39" s="88">
        <v>2.5999999999999999E-2</v>
      </c>
      <c r="R39" s="87">
        <f t="shared" si="11"/>
        <v>0.52977810443986773</v>
      </c>
      <c r="S39" s="188" t="s">
        <v>180</v>
      </c>
      <c r="T39" s="189"/>
      <c r="U39" s="190"/>
    </row>
    <row r="40" spans="1:45" x14ac:dyDescent="0.3">
      <c r="A40" s="175">
        <v>280</v>
      </c>
      <c r="B40" s="175"/>
      <c r="C40" s="175"/>
      <c r="D40" s="175">
        <v>246.8</v>
      </c>
      <c r="E40" s="175"/>
      <c r="F40" s="175"/>
      <c r="G40" s="75">
        <f t="shared" si="8"/>
        <v>4.7838790628097802E-2</v>
      </c>
      <c r="H40" s="74">
        <f t="shared" si="7"/>
        <v>1.4999999999999999E-2</v>
      </c>
      <c r="I40" s="74">
        <f t="shared" si="9"/>
        <v>0.31355307697075951</v>
      </c>
      <c r="J40" s="74">
        <v>2</v>
      </c>
      <c r="K40" s="74">
        <v>0.5</v>
      </c>
      <c r="L40" s="178" t="s">
        <v>179</v>
      </c>
      <c r="M40" s="178"/>
      <c r="N40" s="178"/>
      <c r="O40" s="87">
        <f t="shared" si="10"/>
        <v>77384.899396383466</v>
      </c>
      <c r="P40" s="87">
        <f t="shared" si="6"/>
        <v>2.0259319286871961E-3</v>
      </c>
      <c r="Q40" s="88">
        <v>2.5600000000000001E-2</v>
      </c>
      <c r="R40" s="87">
        <f t="shared" si="11"/>
        <v>0.2962734921531196</v>
      </c>
      <c r="S40" s="188" t="s">
        <v>180</v>
      </c>
      <c r="T40" s="189"/>
      <c r="U40" s="190"/>
    </row>
    <row r="41" spans="1:45" x14ac:dyDescent="0.3">
      <c r="A41" s="175">
        <v>315</v>
      </c>
      <c r="B41" s="175"/>
      <c r="C41" s="175"/>
      <c r="D41" s="175">
        <v>277.60000000000002</v>
      </c>
      <c r="E41" s="175"/>
      <c r="F41" s="175"/>
      <c r="G41" s="75">
        <f t="shared" si="8"/>
        <v>6.0524164772174947E-2</v>
      </c>
      <c r="H41" s="74">
        <f t="shared" si="7"/>
        <v>1.4999999999999999E-2</v>
      </c>
      <c r="I41" s="74">
        <f t="shared" si="9"/>
        <v>0.24783489464849284</v>
      </c>
      <c r="J41" s="74">
        <v>2</v>
      </c>
      <c r="K41" s="74">
        <v>0.5</v>
      </c>
      <c r="L41" s="178" t="s">
        <v>179</v>
      </c>
      <c r="M41" s="178"/>
      <c r="N41" s="178"/>
      <c r="O41" s="87">
        <f t="shared" si="10"/>
        <v>68798.966754421621</v>
      </c>
      <c r="P41" s="87">
        <f t="shared" si="6"/>
        <v>1.8011527377521613E-3</v>
      </c>
      <c r="Q41" s="88">
        <v>2.53E-2</v>
      </c>
      <c r="R41" s="87">
        <f t="shared" si="11"/>
        <v>0.16263043373691261</v>
      </c>
      <c r="S41" s="188" t="s">
        <v>180</v>
      </c>
      <c r="T41" s="189"/>
      <c r="U41" s="190"/>
    </row>
    <row r="42" spans="1:45" x14ac:dyDescent="0.3">
      <c r="A42" s="175">
        <v>355</v>
      </c>
      <c r="B42" s="175"/>
      <c r="C42" s="175"/>
      <c r="D42" s="175">
        <v>312.8</v>
      </c>
      <c r="E42" s="175"/>
      <c r="F42" s="175"/>
      <c r="G42" s="75">
        <f t="shared" si="8"/>
        <v>7.6846372235753801E-2</v>
      </c>
      <c r="H42" s="74">
        <f t="shared" si="7"/>
        <v>1.4999999999999999E-2</v>
      </c>
      <c r="I42" s="74">
        <f t="shared" si="9"/>
        <v>0.19519464047023743</v>
      </c>
      <c r="J42" s="74">
        <v>2</v>
      </c>
      <c r="K42" s="74">
        <v>0.5</v>
      </c>
      <c r="L42" s="178" t="s">
        <v>179</v>
      </c>
      <c r="M42" s="178"/>
      <c r="N42" s="178"/>
      <c r="O42" s="87">
        <f t="shared" si="10"/>
        <v>61056.883539090275</v>
      </c>
      <c r="P42" s="87">
        <f t="shared" si="6"/>
        <v>1.59846547314578E-3</v>
      </c>
      <c r="Q42" s="88">
        <v>2.5000000000000001E-2</v>
      </c>
      <c r="R42" s="87">
        <f t="shared" si="11"/>
        <v>8.8467732224501758E-2</v>
      </c>
      <c r="S42" s="188" t="s">
        <v>180</v>
      </c>
      <c r="T42" s="189"/>
      <c r="U42" s="190"/>
    </row>
    <row r="45" spans="1:45" x14ac:dyDescent="0.3">
      <c r="A45" t="s">
        <v>277</v>
      </c>
      <c r="B45">
        <v>4.9200000000000001E-2</v>
      </c>
      <c r="C45" t="s">
        <v>177</v>
      </c>
    </row>
    <row r="46" spans="1:45" x14ac:dyDescent="0.3">
      <c r="R46" s="73" t="s">
        <v>188</v>
      </c>
      <c r="U46" t="s">
        <v>280</v>
      </c>
      <c r="AC46" s="121" t="s">
        <v>303</v>
      </c>
      <c r="AD46" s="121"/>
      <c r="AE46" s="121" t="s">
        <v>302</v>
      </c>
      <c r="AF46" s="121"/>
      <c r="AO46" s="121" t="s">
        <v>304</v>
      </c>
      <c r="AP46" s="121"/>
    </row>
    <row r="47" spans="1:45" x14ac:dyDescent="0.3">
      <c r="A47" s="187" t="s">
        <v>215</v>
      </c>
      <c r="B47" s="187"/>
      <c r="C47" s="187"/>
      <c r="D47" s="187"/>
      <c r="E47" s="187"/>
      <c r="F47" s="187"/>
      <c r="G47" s="187"/>
      <c r="H47" t="s">
        <v>177</v>
      </c>
      <c r="L47" s="186" t="s">
        <v>178</v>
      </c>
      <c r="M47" s="186"/>
      <c r="N47" s="186"/>
      <c r="R47" s="45">
        <v>650</v>
      </c>
      <c r="W47" s="176" t="s">
        <v>284</v>
      </c>
      <c r="X47" s="121"/>
      <c r="Y47" s="105" t="s">
        <v>286</v>
      </c>
      <c r="Z47" s="105" t="s">
        <v>286</v>
      </c>
      <c r="AA47" s="105" t="s">
        <v>299</v>
      </c>
      <c r="AC47" s="176" t="s">
        <v>291</v>
      </c>
      <c r="AD47" s="121"/>
      <c r="AE47" s="176" t="s">
        <v>291</v>
      </c>
      <c r="AF47" s="121"/>
      <c r="AG47" s="176" t="s">
        <v>291</v>
      </c>
      <c r="AH47" s="121"/>
      <c r="AI47" s="176" t="s">
        <v>291</v>
      </c>
      <c r="AJ47" s="121"/>
      <c r="AK47" s="176" t="s">
        <v>296</v>
      </c>
      <c r="AL47" s="121"/>
      <c r="AM47" s="121" t="s">
        <v>300</v>
      </c>
      <c r="AN47" s="121"/>
      <c r="AO47" s="176" t="s">
        <v>296</v>
      </c>
      <c r="AP47" s="121"/>
    </row>
    <row r="48" spans="1:45" x14ac:dyDescent="0.3">
      <c r="A48" s="113" t="s">
        <v>156</v>
      </c>
      <c r="B48" s="113"/>
      <c r="C48" s="113"/>
      <c r="D48" s="113" t="s">
        <v>196</v>
      </c>
      <c r="E48" s="113"/>
      <c r="F48" s="113"/>
      <c r="G48" s="42" t="s">
        <v>175</v>
      </c>
      <c r="H48" s="42" t="s">
        <v>319</v>
      </c>
      <c r="I48" s="42" t="s">
        <v>176</v>
      </c>
      <c r="J48" s="42" t="s">
        <v>162</v>
      </c>
      <c r="K48" s="42" t="s">
        <v>163</v>
      </c>
      <c r="L48" s="113" t="s">
        <v>181</v>
      </c>
      <c r="M48" s="113"/>
      <c r="N48" s="113"/>
      <c r="O48" s="73" t="s">
        <v>182</v>
      </c>
      <c r="P48" s="73" t="s">
        <v>185</v>
      </c>
      <c r="Q48" s="73" t="s">
        <v>186</v>
      </c>
      <c r="R48" s="73" t="s">
        <v>152</v>
      </c>
      <c r="S48" s="73" t="s">
        <v>278</v>
      </c>
      <c r="T48" s="73" t="s">
        <v>279</v>
      </c>
      <c r="U48" s="73" t="s">
        <v>281</v>
      </c>
      <c r="V48" s="73" t="s">
        <v>282</v>
      </c>
      <c r="W48" s="186" t="s">
        <v>283</v>
      </c>
      <c r="X48" s="186"/>
      <c r="Y48" s="73" t="s">
        <v>285</v>
      </c>
      <c r="Z48" s="73" t="s">
        <v>287</v>
      </c>
      <c r="AA48" s="73" t="s">
        <v>288</v>
      </c>
      <c r="AB48" s="73" t="s">
        <v>289</v>
      </c>
      <c r="AC48" s="124" t="s">
        <v>290</v>
      </c>
      <c r="AD48" s="124"/>
      <c r="AE48" s="124" t="s">
        <v>292</v>
      </c>
      <c r="AF48" s="124"/>
      <c r="AG48" s="124" t="s">
        <v>293</v>
      </c>
      <c r="AH48" s="124"/>
      <c r="AI48" s="124" t="s">
        <v>294</v>
      </c>
      <c r="AJ48" s="124"/>
      <c r="AK48" s="124" t="s">
        <v>295</v>
      </c>
      <c r="AL48" s="124"/>
      <c r="AM48" s="124" t="s">
        <v>297</v>
      </c>
      <c r="AN48" s="124"/>
      <c r="AO48" s="124" t="s">
        <v>298</v>
      </c>
      <c r="AP48" s="124"/>
      <c r="AQ48" s="124" t="s">
        <v>301</v>
      </c>
      <c r="AR48" s="124"/>
      <c r="AS48" s="124"/>
    </row>
    <row r="49" spans="1:45" x14ac:dyDescent="0.3">
      <c r="A49" s="175">
        <v>90</v>
      </c>
      <c r="B49" s="175"/>
      <c r="C49" s="175"/>
      <c r="D49" s="181">
        <v>76.599999999999994</v>
      </c>
      <c r="E49" s="182"/>
      <c r="F49" s="182"/>
      <c r="G49" s="88">
        <f>PI()*((D49*0.001)^2)/4</f>
        <v>4.6083708476243315E-3</v>
      </c>
      <c r="H49" s="88">
        <f t="shared" ref="H49:H55" si="12">$B$45</f>
        <v>4.9200000000000001E-2</v>
      </c>
      <c r="I49" s="88">
        <f>H49/G49</f>
        <v>10.676224120583344</v>
      </c>
      <c r="J49" s="88">
        <v>1.55</v>
      </c>
      <c r="K49" s="88">
        <v>0.5</v>
      </c>
      <c r="L49" s="178" t="s">
        <v>179</v>
      </c>
      <c r="M49" s="178"/>
      <c r="N49" s="178"/>
      <c r="O49" s="87">
        <f>(I49*(D49/1000))/(10^(-6))</f>
        <v>817798.767636684</v>
      </c>
      <c r="P49" s="87">
        <f t="shared" ref="P49:P55" si="13">$C$12/D49</f>
        <v>6.5274151436031337E-3</v>
      </c>
      <c r="Q49" s="88">
        <v>3.3000000000000002E-2</v>
      </c>
      <c r="R49" s="87">
        <f>Q49*(410/(D49/1000)*(I49^2)/(2*9.81))</f>
        <v>1026.137096164384</v>
      </c>
      <c r="S49" s="75">
        <f t="shared" ref="S49:S62" si="14">(66+R49)/0.95</f>
        <v>1149.6179959625097</v>
      </c>
      <c r="T49" s="75">
        <f>0.05*S49</f>
        <v>57.480899798125485</v>
      </c>
      <c r="U49" s="75">
        <f t="shared" ref="U49:U62" si="15">9.81*H49*S49/0.75</f>
        <v>739.8205666497297</v>
      </c>
      <c r="V49" s="75">
        <f>1.2*U49</f>
        <v>887.78467997967562</v>
      </c>
      <c r="W49" s="175">
        <v>8.33</v>
      </c>
      <c r="X49" s="175"/>
      <c r="Y49" s="75">
        <v>1700</v>
      </c>
      <c r="Z49" s="75">
        <v>130</v>
      </c>
      <c r="AA49" s="75">
        <v>0.11</v>
      </c>
      <c r="AB49" s="75">
        <v>0.08</v>
      </c>
      <c r="AC49" s="175">
        <f>650*W49</f>
        <v>5414.5</v>
      </c>
      <c r="AD49" s="175"/>
      <c r="AE49" s="175">
        <f>V49*Y49</f>
        <v>1509233.9559654486</v>
      </c>
      <c r="AF49" s="175"/>
      <c r="AG49" s="175">
        <f>AE49*((0.08*(1.08^15))/(1.08^15-1))</f>
        <v>176323.11627743259</v>
      </c>
      <c r="AH49" s="175"/>
      <c r="AI49" s="175">
        <f>AC49*((0.08*(1.08^40))/(1.08^40-1))</f>
        <v>454.06084444491927</v>
      </c>
      <c r="AJ49" s="175"/>
      <c r="AK49" s="175">
        <f>Z49*V49</f>
        <v>115412.00839735783</v>
      </c>
      <c r="AL49" s="175"/>
      <c r="AM49" s="175">
        <f>969941*9.81*S49/(3600*0.75)</f>
        <v>4051390.5839928039</v>
      </c>
      <c r="AN49" s="175"/>
      <c r="AO49" s="175">
        <f>AM49*AA49</f>
        <v>445652.96423920844</v>
      </c>
      <c r="AP49" s="175"/>
      <c r="AQ49" s="175">
        <f>AG49+AI49+AK49+AO49</f>
        <v>737842.1497584437</v>
      </c>
      <c r="AR49" s="175"/>
      <c r="AS49" s="175"/>
    </row>
    <row r="50" spans="1:45" x14ac:dyDescent="0.3">
      <c r="A50" s="175">
        <v>110</v>
      </c>
      <c r="B50" s="175"/>
      <c r="C50" s="175"/>
      <c r="D50" s="181">
        <v>93.8</v>
      </c>
      <c r="E50" s="182"/>
      <c r="F50" s="182"/>
      <c r="G50" s="88">
        <f>PI()*((D50*0.001)^2)/4</f>
        <v>6.9102786167626442E-3</v>
      </c>
      <c r="H50" s="88">
        <f t="shared" si="12"/>
        <v>4.9200000000000001E-2</v>
      </c>
      <c r="I50" s="88">
        <f>H50/G50</f>
        <v>7.1198286970156088</v>
      </c>
      <c r="J50" s="88">
        <v>1.55</v>
      </c>
      <c r="K50" s="88">
        <v>0.5</v>
      </c>
      <c r="L50" s="178" t="s">
        <v>179</v>
      </c>
      <c r="M50" s="178"/>
      <c r="N50" s="178"/>
      <c r="O50" s="87">
        <f>(I50*(D50/1000))/(10^(-6))</f>
        <v>667839.93178006413</v>
      </c>
      <c r="P50" s="87">
        <f t="shared" si="13"/>
        <v>5.3304904051172707E-3</v>
      </c>
      <c r="Q50" s="88">
        <v>3.1E-2</v>
      </c>
      <c r="R50" s="87">
        <f>Q50*(570/(D50/1000)*(I50^2)/(2*9.81))</f>
        <v>486.71395378097827</v>
      </c>
      <c r="S50" s="75">
        <f t="shared" si="14"/>
        <v>581.80416187471405</v>
      </c>
      <c r="T50" s="75">
        <f t="shared" ref="T50:T62" si="16">0.05*S50</f>
        <v>29.090208093735704</v>
      </c>
      <c r="U50" s="75">
        <f t="shared" si="15"/>
        <v>374.41192311620603</v>
      </c>
      <c r="V50" s="75">
        <f t="shared" ref="V50:V62" si="17">1.2*U50</f>
        <v>449.29430773944722</v>
      </c>
      <c r="W50" s="175">
        <v>12.49</v>
      </c>
      <c r="X50" s="175"/>
      <c r="Y50" s="75">
        <v>1700</v>
      </c>
      <c r="Z50" s="75">
        <v>130</v>
      </c>
      <c r="AA50" s="75">
        <v>0.11</v>
      </c>
      <c r="AB50" s="75">
        <v>0.08</v>
      </c>
      <c r="AC50" s="175">
        <f t="shared" ref="AC50:AC62" si="18">650*W50</f>
        <v>8118.5</v>
      </c>
      <c r="AD50" s="175"/>
      <c r="AE50" s="175">
        <f t="shared" ref="AE50:AE61" si="19">V50*Y50</f>
        <v>763800.32315706031</v>
      </c>
      <c r="AF50" s="175"/>
      <c r="AG50" s="175">
        <f t="shared" ref="AG50:AG62" si="20">AE50*((0.08*(1.08^15))/(1.08^15-1))</f>
        <v>89234.444176424367</v>
      </c>
      <c r="AH50" s="175"/>
      <c r="AI50" s="175">
        <f t="shared" ref="AI50:AI62" si="21">AC50*((0.08*(1.08^40))/(1.08^40-1))</f>
        <v>680.818721142502</v>
      </c>
      <c r="AJ50" s="175"/>
      <c r="AK50" s="175">
        <f t="shared" ref="AK50:AK62" si="22">Z50*V50</f>
        <v>58408.260006128141</v>
      </c>
      <c r="AL50" s="175"/>
      <c r="AM50" s="175">
        <f t="shared" ref="AM50:AM62" si="23">969941*9.81*S50/(3600*0.75)</f>
        <v>2050347.0817482835</v>
      </c>
      <c r="AN50" s="175"/>
      <c r="AO50" s="175">
        <f t="shared" ref="AO50:AO62" si="24">AM50*AA50</f>
        <v>225538.17899231118</v>
      </c>
      <c r="AP50" s="175"/>
      <c r="AQ50" s="175">
        <f t="shared" ref="AQ50:AQ62" si="25">AG50+AI50+AK50+AO50</f>
        <v>373861.70189600618</v>
      </c>
      <c r="AR50" s="175"/>
      <c r="AS50" s="175"/>
    </row>
    <row r="51" spans="1:45" x14ac:dyDescent="0.3">
      <c r="A51" s="175">
        <v>125</v>
      </c>
      <c r="B51" s="175"/>
      <c r="C51" s="175"/>
      <c r="D51" s="181">
        <v>106.6</v>
      </c>
      <c r="E51" s="182"/>
      <c r="F51" s="182"/>
      <c r="G51" s="88">
        <f>PI()*((D51*0.001)^2)/4</f>
        <v>8.9249191536567071E-3</v>
      </c>
      <c r="H51" s="88">
        <f t="shared" si="12"/>
        <v>4.9200000000000001E-2</v>
      </c>
      <c r="I51" s="88">
        <f>H51/G51</f>
        <v>5.5126549779268128</v>
      </c>
      <c r="J51" s="88">
        <v>1.55</v>
      </c>
      <c r="K51" s="88">
        <v>0.5</v>
      </c>
      <c r="L51" s="178" t="s">
        <v>179</v>
      </c>
      <c r="M51" s="178"/>
      <c r="N51" s="178"/>
      <c r="O51" s="87">
        <f>(I51*(D51/1000))/(10^(-6))</f>
        <v>587649.02064699819</v>
      </c>
      <c r="P51" s="87">
        <f t="shared" si="13"/>
        <v>4.6904315196998128E-3</v>
      </c>
      <c r="Q51" s="88">
        <v>0.03</v>
      </c>
      <c r="R51" s="87">
        <f>Q51*(570/(D51/1000)*(I51^2)/(2*9.81))</f>
        <v>248.46288672718214</v>
      </c>
      <c r="S51" s="75">
        <f t="shared" si="14"/>
        <v>331.01356497598124</v>
      </c>
      <c r="T51" s="75">
        <f t="shared" si="16"/>
        <v>16.550678248799063</v>
      </c>
      <c r="U51" s="75">
        <f t="shared" si="15"/>
        <v>213.01914555038309</v>
      </c>
      <c r="V51" s="75">
        <f t="shared" si="17"/>
        <v>255.6229746604597</v>
      </c>
      <c r="W51" s="175">
        <v>16.149999999999999</v>
      </c>
      <c r="X51" s="175"/>
      <c r="Y51" s="75">
        <v>1700</v>
      </c>
      <c r="Z51" s="75">
        <v>130</v>
      </c>
      <c r="AA51" s="75">
        <v>0.11</v>
      </c>
      <c r="AB51" s="75">
        <v>0.08</v>
      </c>
      <c r="AC51" s="175">
        <f t="shared" si="18"/>
        <v>10497.499999999998</v>
      </c>
      <c r="AD51" s="175"/>
      <c r="AE51" s="175">
        <f t="shared" si="19"/>
        <v>434559.05692278151</v>
      </c>
      <c r="AF51" s="175"/>
      <c r="AG51" s="175">
        <f t="shared" si="20"/>
        <v>50769.336868114573</v>
      </c>
      <c r="AH51" s="175"/>
      <c r="AI51" s="175">
        <f t="shared" si="21"/>
        <v>880.3220453523943</v>
      </c>
      <c r="AJ51" s="175"/>
      <c r="AK51" s="175">
        <f t="shared" si="22"/>
        <v>33230.986705859759</v>
      </c>
      <c r="AL51" s="175"/>
      <c r="AM51" s="175">
        <f t="shared" si="23"/>
        <v>1166531.1825558045</v>
      </c>
      <c r="AN51" s="175"/>
      <c r="AO51" s="175">
        <f t="shared" si="24"/>
        <v>128318.43008113849</v>
      </c>
      <c r="AP51" s="175"/>
      <c r="AQ51" s="175">
        <f t="shared" si="25"/>
        <v>213199.07570046524</v>
      </c>
      <c r="AR51" s="175"/>
      <c r="AS51" s="175"/>
    </row>
    <row r="52" spans="1:45" x14ac:dyDescent="0.3">
      <c r="A52" s="183">
        <v>140</v>
      </c>
      <c r="B52" s="183"/>
      <c r="C52" s="183"/>
      <c r="D52" s="184">
        <v>119.4</v>
      </c>
      <c r="E52" s="185"/>
      <c r="F52" s="185"/>
      <c r="G52" s="88">
        <f>PI()*((D52*0.001)^2)/4</f>
        <v>1.1196918960732846E-2</v>
      </c>
      <c r="H52" s="88">
        <f t="shared" si="12"/>
        <v>4.9200000000000001E-2</v>
      </c>
      <c r="I52" s="88">
        <f>H52/G52</f>
        <v>4.3940659187176818</v>
      </c>
      <c r="J52" s="88">
        <v>1.85</v>
      </c>
      <c r="K52" s="88">
        <v>0.5</v>
      </c>
      <c r="L52" s="178" t="s">
        <v>179</v>
      </c>
      <c r="M52" s="178"/>
      <c r="N52" s="178"/>
      <c r="O52" s="87">
        <f>(I52*(D52/1000))/(10^(-6))</f>
        <v>524651.47069489129</v>
      </c>
      <c r="P52" s="87">
        <f t="shared" si="13"/>
        <v>4.1876046901172526E-3</v>
      </c>
      <c r="Q52" s="88">
        <v>2.9000000000000001E-2</v>
      </c>
      <c r="R52" s="87">
        <f>Q52*(570/(D52/1000)*(I52^2)/(2*9.81))</f>
        <v>136.23938025010347</v>
      </c>
      <c r="S52" s="75">
        <f t="shared" si="14"/>
        <v>212.88355815800367</v>
      </c>
      <c r="T52" s="75">
        <f t="shared" si="16"/>
        <v>10.644177907900184</v>
      </c>
      <c r="U52" s="75">
        <f t="shared" si="15"/>
        <v>136.99823348276905</v>
      </c>
      <c r="V52" s="75">
        <f t="shared" si="17"/>
        <v>164.39788017932287</v>
      </c>
      <c r="W52" s="175">
        <v>19.48</v>
      </c>
      <c r="X52" s="175"/>
      <c r="Y52" s="75">
        <v>1700</v>
      </c>
      <c r="Z52" s="75">
        <v>130</v>
      </c>
      <c r="AA52" s="75">
        <v>0.11</v>
      </c>
      <c r="AB52" s="75">
        <v>0.08</v>
      </c>
      <c r="AC52" s="175">
        <f t="shared" si="18"/>
        <v>12662</v>
      </c>
      <c r="AD52" s="175"/>
      <c r="AE52" s="175">
        <f t="shared" si="19"/>
        <v>279476.39630484889</v>
      </c>
      <c r="AF52" s="175"/>
      <c r="AG52" s="175">
        <f t="shared" si="20"/>
        <v>32651.100200654277</v>
      </c>
      <c r="AH52" s="175"/>
      <c r="AI52" s="175">
        <f t="shared" si="21"/>
        <v>1061.8373649204113</v>
      </c>
      <c r="AJ52" s="175"/>
      <c r="AK52" s="175">
        <f t="shared" si="22"/>
        <v>21371.724423311975</v>
      </c>
      <c r="AL52" s="175"/>
      <c r="AM52" s="175">
        <f t="shared" si="23"/>
        <v>750226.98499610717</v>
      </c>
      <c r="AN52" s="175"/>
      <c r="AO52" s="175">
        <f t="shared" si="24"/>
        <v>82524.968349571791</v>
      </c>
      <c r="AP52" s="175"/>
      <c r="AQ52" s="175">
        <f t="shared" si="25"/>
        <v>137609.63033845846</v>
      </c>
      <c r="AR52" s="175"/>
      <c r="AS52" s="175"/>
    </row>
    <row r="53" spans="1:45" x14ac:dyDescent="0.3">
      <c r="A53" s="183">
        <v>160</v>
      </c>
      <c r="B53" s="183"/>
      <c r="C53" s="183"/>
      <c r="D53" s="183">
        <v>136.4</v>
      </c>
      <c r="E53" s="183"/>
      <c r="F53" s="183"/>
      <c r="G53" s="87">
        <f t="shared" ref="G53:G62" si="26">PI()*((D53*0.001)^2)/4</f>
        <v>1.4612301414082995E-2</v>
      </c>
      <c r="H53" s="88">
        <f t="shared" si="12"/>
        <v>4.9200000000000001E-2</v>
      </c>
      <c r="I53" s="88">
        <f>H53/G53</f>
        <v>3.3670260834191521</v>
      </c>
      <c r="J53" s="88">
        <v>1.85</v>
      </c>
      <c r="K53" s="88">
        <v>0.5</v>
      </c>
      <c r="L53" s="178" t="s">
        <v>179</v>
      </c>
      <c r="M53" s="178"/>
      <c r="N53" s="178"/>
      <c r="O53" s="87">
        <f>(I53*(D53/1000))/(10^(-6))</f>
        <v>459262.35777837236</v>
      </c>
      <c r="P53" s="87">
        <f t="shared" si="13"/>
        <v>3.6656891495601171E-3</v>
      </c>
      <c r="Q53" s="88">
        <v>2.8000000000000001E-2</v>
      </c>
      <c r="R53" s="87">
        <f>Q53*(570/(D53/1000)*(I53^2)/(2*9.81))</f>
        <v>67.610239625068999</v>
      </c>
      <c r="S53" s="75">
        <f t="shared" si="14"/>
        <v>140.64235750007265</v>
      </c>
      <c r="T53" s="75">
        <f t="shared" si="16"/>
        <v>7.0321178750036326</v>
      </c>
      <c r="U53" s="75">
        <f t="shared" si="15"/>
        <v>90.508420176166752</v>
      </c>
      <c r="V53" s="75">
        <f t="shared" si="17"/>
        <v>108.6101042114001</v>
      </c>
      <c r="W53" s="175">
        <v>25.48</v>
      </c>
      <c r="X53" s="175"/>
      <c r="Y53" s="75">
        <v>1700</v>
      </c>
      <c r="Z53" s="75">
        <v>130</v>
      </c>
      <c r="AA53" s="75">
        <v>0.11</v>
      </c>
      <c r="AB53" s="75">
        <v>0.08</v>
      </c>
      <c r="AC53" s="175">
        <f t="shared" si="18"/>
        <v>16562</v>
      </c>
      <c r="AD53" s="175"/>
      <c r="AE53" s="175">
        <f>V53*Y53</f>
        <v>184637.17715938017</v>
      </c>
      <c r="AF53" s="175"/>
      <c r="AG53" s="175">
        <f t="shared" si="20"/>
        <v>21571.077385801691</v>
      </c>
      <c r="AH53" s="175"/>
      <c r="AI53" s="175">
        <f t="shared" si="21"/>
        <v>1388.8919947726943</v>
      </c>
      <c r="AJ53" s="175"/>
      <c r="AK53" s="175">
        <f t="shared" si="22"/>
        <v>14119.313547482014</v>
      </c>
      <c r="AL53" s="175"/>
      <c r="AM53" s="175">
        <f t="shared" si="23"/>
        <v>495640.39958271995</v>
      </c>
      <c r="AN53" s="175"/>
      <c r="AO53" s="175">
        <f t="shared" si="24"/>
        <v>54520.443954099195</v>
      </c>
      <c r="AP53" s="175"/>
      <c r="AQ53" s="175">
        <f t="shared" si="25"/>
        <v>91599.726882155592</v>
      </c>
      <c r="AR53" s="175"/>
      <c r="AS53" s="175"/>
    </row>
    <row r="54" spans="1:45" x14ac:dyDescent="0.3">
      <c r="A54" s="183">
        <v>180</v>
      </c>
      <c r="B54" s="183"/>
      <c r="C54" s="183"/>
      <c r="D54" s="183">
        <v>153.4</v>
      </c>
      <c r="E54" s="183"/>
      <c r="F54" s="183"/>
      <c r="G54" s="87">
        <f t="shared" si="26"/>
        <v>1.848164400587686E-2</v>
      </c>
      <c r="H54" s="88">
        <f t="shared" si="12"/>
        <v>4.9200000000000001E-2</v>
      </c>
      <c r="I54" s="88">
        <f t="shared" ref="I54:I62" si="27">H54/G54</f>
        <v>2.6621008382346942</v>
      </c>
      <c r="J54" s="88">
        <v>2</v>
      </c>
      <c r="K54" s="88">
        <v>0.5</v>
      </c>
      <c r="L54" s="178" t="s">
        <v>179</v>
      </c>
      <c r="M54" s="178"/>
      <c r="N54" s="178"/>
      <c r="O54" s="87">
        <f t="shared" ref="O54:O62" si="28">(I54*(D54/1000))/(10^(-6))</f>
        <v>408366.26858520217</v>
      </c>
      <c r="P54" s="87">
        <f t="shared" si="13"/>
        <v>3.2594524119947846E-3</v>
      </c>
      <c r="Q54" s="88">
        <v>2.7E-2</v>
      </c>
      <c r="R54" s="87">
        <f t="shared" ref="R54:R62" si="29">Q54*(570/(D54/1000)*(I54^2)/(2*9.81))</f>
        <v>36.237919969110145</v>
      </c>
      <c r="S54" s="75">
        <f t="shared" si="14"/>
        <v>107.61886312537911</v>
      </c>
      <c r="T54" s="75">
        <f t="shared" si="16"/>
        <v>5.3809431562689554</v>
      </c>
      <c r="U54" s="75">
        <f t="shared" si="15"/>
        <v>69.256612700253967</v>
      </c>
      <c r="V54" s="75">
        <f t="shared" si="17"/>
        <v>83.107935240304755</v>
      </c>
      <c r="W54" s="175">
        <v>32.31</v>
      </c>
      <c r="X54" s="175"/>
      <c r="Y54" s="75">
        <v>1700</v>
      </c>
      <c r="Z54" s="75">
        <v>130</v>
      </c>
      <c r="AA54" s="75">
        <v>0.11</v>
      </c>
      <c r="AB54" s="75">
        <v>0.08</v>
      </c>
      <c r="AC54" s="175">
        <f t="shared" si="18"/>
        <v>21001.5</v>
      </c>
      <c r="AD54" s="175"/>
      <c r="AE54" s="175">
        <f t="shared" si="19"/>
        <v>141283.4899085181</v>
      </c>
      <c r="AF54" s="175"/>
      <c r="AG54" s="175">
        <f t="shared" si="20"/>
        <v>16506.085832984943</v>
      </c>
      <c r="AH54" s="175"/>
      <c r="AI54" s="175">
        <f t="shared" si="21"/>
        <v>1761.1891817545427</v>
      </c>
      <c r="AJ54" s="175"/>
      <c r="AK54" s="175">
        <f t="shared" si="22"/>
        <v>10804.031581239618</v>
      </c>
      <c r="AL54" s="175"/>
      <c r="AM54" s="175">
        <f t="shared" si="23"/>
        <v>379261.67671125248</v>
      </c>
      <c r="AN54" s="175"/>
      <c r="AO54" s="175">
        <f t="shared" si="24"/>
        <v>41718.784438237773</v>
      </c>
      <c r="AP54" s="175"/>
      <c r="AQ54" s="175">
        <f t="shared" si="25"/>
        <v>70790.091034216879</v>
      </c>
      <c r="AR54" s="175"/>
      <c r="AS54" s="175"/>
    </row>
    <row r="55" spans="1:45" x14ac:dyDescent="0.3">
      <c r="A55" s="183">
        <v>200</v>
      </c>
      <c r="B55" s="183"/>
      <c r="C55" s="183"/>
      <c r="D55" s="183">
        <v>170.6</v>
      </c>
      <c r="E55" s="183"/>
      <c r="F55" s="183"/>
      <c r="G55" s="87">
        <f t="shared" si="26"/>
        <v>2.2858510890858157E-2</v>
      </c>
      <c r="H55" s="88">
        <f t="shared" si="12"/>
        <v>4.9200000000000001E-2</v>
      </c>
      <c r="I55" s="88">
        <f t="shared" si="27"/>
        <v>2.1523711774101892</v>
      </c>
      <c r="J55" s="88">
        <v>2</v>
      </c>
      <c r="K55" s="88">
        <v>0.5</v>
      </c>
      <c r="L55" s="178" t="s">
        <v>179</v>
      </c>
      <c r="M55" s="178"/>
      <c r="N55" s="178"/>
      <c r="O55" s="87">
        <f t="shared" si="28"/>
        <v>367194.5228661783</v>
      </c>
      <c r="P55" s="87">
        <f t="shared" si="13"/>
        <v>2.9308323563892145E-3</v>
      </c>
      <c r="Q55" s="88">
        <v>2.5999999999999999E-2</v>
      </c>
      <c r="R55" s="87">
        <f t="shared" si="29"/>
        <v>20.511834759859834</v>
      </c>
      <c r="S55" s="75">
        <f t="shared" si="14"/>
        <v>91.065089220905094</v>
      </c>
      <c r="T55" s="75">
        <f t="shared" si="16"/>
        <v>4.5532544610452552</v>
      </c>
      <c r="U55" s="75">
        <f t="shared" si="15"/>
        <v>58.603663256864387</v>
      </c>
      <c r="V55" s="75">
        <f t="shared" si="17"/>
        <v>70.324395908237264</v>
      </c>
      <c r="W55" s="175">
        <v>39.61</v>
      </c>
      <c r="X55" s="175"/>
      <c r="Y55" s="75">
        <v>1700</v>
      </c>
      <c r="Z55" s="75">
        <v>130</v>
      </c>
      <c r="AA55" s="75">
        <v>0.11</v>
      </c>
      <c r="AB55" s="75">
        <v>0.08</v>
      </c>
      <c r="AC55" s="175">
        <f t="shared" si="18"/>
        <v>25746.5</v>
      </c>
      <c r="AD55" s="175"/>
      <c r="AE55" s="175">
        <f t="shared" si="19"/>
        <v>119551.47304400335</v>
      </c>
      <c r="AF55" s="175"/>
      <c r="AG55" s="175">
        <f t="shared" si="20"/>
        <v>13967.144192161772</v>
      </c>
      <c r="AH55" s="175"/>
      <c r="AI55" s="175">
        <f t="shared" si="21"/>
        <v>2159.1056480748202</v>
      </c>
      <c r="AJ55" s="175"/>
      <c r="AK55" s="175">
        <f t="shared" si="22"/>
        <v>9142.1714680708446</v>
      </c>
      <c r="AL55" s="175"/>
      <c r="AM55" s="175">
        <f t="shared" si="23"/>
        <v>320924.20812458394</v>
      </c>
      <c r="AN55" s="175"/>
      <c r="AO55" s="175">
        <f t="shared" si="24"/>
        <v>35301.662893704233</v>
      </c>
      <c r="AP55" s="175"/>
      <c r="AQ55" s="175">
        <f t="shared" si="25"/>
        <v>60570.084202011669</v>
      </c>
      <c r="AR55" s="175"/>
      <c r="AS55" s="175"/>
    </row>
    <row r="56" spans="1:45" x14ac:dyDescent="0.3">
      <c r="A56" s="124">
        <v>225</v>
      </c>
      <c r="B56" s="124"/>
      <c r="C56" s="124"/>
      <c r="D56" s="124">
        <v>191.8</v>
      </c>
      <c r="E56" s="124"/>
      <c r="F56" s="124"/>
      <c r="G56" s="85">
        <f t="shared" si="26"/>
        <v>2.8892630732461157E-2</v>
      </c>
      <c r="H56" s="86">
        <f t="shared" ref="H56:H62" si="30">$B$45</f>
        <v>4.9200000000000001E-2</v>
      </c>
      <c r="I56" s="86">
        <f t="shared" si="27"/>
        <v>1.7028563600033595</v>
      </c>
      <c r="J56" s="86">
        <v>2</v>
      </c>
      <c r="K56" s="86">
        <v>0.5</v>
      </c>
      <c r="L56" s="177" t="s">
        <v>180</v>
      </c>
      <c r="M56" s="177"/>
      <c r="N56" s="177"/>
      <c r="O56" s="85">
        <f t="shared" si="28"/>
        <v>326607.84984864434</v>
      </c>
      <c r="P56" s="85">
        <f t="shared" ref="P56:P62" si="31">$C$12/D56</f>
        <v>2.6068821689259644E-3</v>
      </c>
      <c r="Q56" s="86">
        <v>2.5999999999999999E-2</v>
      </c>
      <c r="R56" s="85">
        <f t="shared" si="29"/>
        <v>11.41975086102944</v>
      </c>
      <c r="S56" s="14">
        <f t="shared" si="14"/>
        <v>81.494474590557317</v>
      </c>
      <c r="T56" s="14">
        <f t="shared" si="16"/>
        <v>4.0747237295278662</v>
      </c>
      <c r="U56" s="14">
        <f t="shared" si="15"/>
        <v>52.444628200108895</v>
      </c>
      <c r="V56" s="14">
        <f t="shared" si="17"/>
        <v>62.933553840130671</v>
      </c>
      <c r="W56" s="124">
        <v>50.28</v>
      </c>
      <c r="X56" s="124"/>
      <c r="Y56" s="14">
        <v>1700</v>
      </c>
      <c r="Z56" s="14">
        <v>130</v>
      </c>
      <c r="AA56" s="14">
        <v>0.11</v>
      </c>
      <c r="AB56" s="14">
        <v>0.08</v>
      </c>
      <c r="AC56" s="124">
        <f t="shared" si="18"/>
        <v>32682</v>
      </c>
      <c r="AD56" s="124"/>
      <c r="AE56" s="124">
        <f t="shared" si="19"/>
        <v>106987.04152822214</v>
      </c>
      <c r="AF56" s="124"/>
      <c r="AG56" s="124">
        <f t="shared" si="20"/>
        <v>12499.247375793266</v>
      </c>
      <c r="AH56" s="124"/>
      <c r="AI56" s="124">
        <f t="shared" si="21"/>
        <v>2740.7177981621298</v>
      </c>
      <c r="AJ56" s="124"/>
      <c r="AK56" s="124">
        <f t="shared" si="22"/>
        <v>8181.361999216987</v>
      </c>
      <c r="AL56" s="124"/>
      <c r="AM56" s="173">
        <f t="shared" si="23"/>
        <v>287196.22358311783</v>
      </c>
      <c r="AN56" s="173"/>
      <c r="AO56" s="124">
        <f t="shared" si="24"/>
        <v>31591.584594142962</v>
      </c>
      <c r="AP56" s="124"/>
      <c r="AQ56" s="124">
        <f t="shared" si="25"/>
        <v>55012.911767315345</v>
      </c>
      <c r="AR56" s="124"/>
      <c r="AS56" s="124"/>
    </row>
    <row r="57" spans="1:45" x14ac:dyDescent="0.3">
      <c r="A57" s="180">
        <v>250</v>
      </c>
      <c r="B57" s="180"/>
      <c r="C57" s="180"/>
      <c r="D57" s="180">
        <v>213.2</v>
      </c>
      <c r="E57" s="180"/>
      <c r="F57" s="180"/>
      <c r="G57" s="85">
        <f t="shared" si="26"/>
        <v>3.5699676614626828E-2</v>
      </c>
      <c r="H57" s="86">
        <f t="shared" si="30"/>
        <v>4.9200000000000001E-2</v>
      </c>
      <c r="I57" s="86">
        <f t="shared" si="27"/>
        <v>1.3781637444817032</v>
      </c>
      <c r="J57" s="86">
        <v>2</v>
      </c>
      <c r="K57" s="86">
        <v>0.5</v>
      </c>
      <c r="L57" s="177" t="s">
        <v>180</v>
      </c>
      <c r="M57" s="177"/>
      <c r="N57" s="177"/>
      <c r="O57" s="85">
        <f t="shared" si="28"/>
        <v>293824.5103234991</v>
      </c>
      <c r="P57" s="85">
        <f t="shared" si="31"/>
        <v>2.3452157598499064E-3</v>
      </c>
      <c r="Q57" s="86">
        <v>2.5000000000000001E-2</v>
      </c>
      <c r="R57" s="85">
        <f t="shared" si="29"/>
        <v>6.4703876751870357</v>
      </c>
      <c r="S57" s="14">
        <f t="shared" si="14"/>
        <v>76.284618605460054</v>
      </c>
      <c r="T57" s="14">
        <f t="shared" si="16"/>
        <v>3.8142309302730029</v>
      </c>
      <c r="U57" s="14">
        <f t="shared" si="15"/>
        <v>49.091898318883345</v>
      </c>
      <c r="V57" s="14">
        <f t="shared" si="17"/>
        <v>58.910277982660013</v>
      </c>
      <c r="W57" s="124">
        <v>61.96</v>
      </c>
      <c r="X57" s="124"/>
      <c r="Y57" s="14">
        <v>1700</v>
      </c>
      <c r="Z57" s="14">
        <v>130</v>
      </c>
      <c r="AA57" s="14">
        <v>0.11</v>
      </c>
      <c r="AB57" s="14">
        <v>0.08</v>
      </c>
      <c r="AC57" s="124">
        <f t="shared" si="18"/>
        <v>40274</v>
      </c>
      <c r="AD57" s="124"/>
      <c r="AE57" s="124">
        <f t="shared" si="19"/>
        <v>100147.47257052202</v>
      </c>
      <c r="AF57" s="124"/>
      <c r="AG57" s="124">
        <f t="shared" si="20"/>
        <v>11700.183646906631</v>
      </c>
      <c r="AH57" s="124"/>
      <c r="AI57" s="124">
        <f t="shared" si="21"/>
        <v>3377.3841442745734</v>
      </c>
      <c r="AJ57" s="124"/>
      <c r="AK57" s="124">
        <f t="shared" si="22"/>
        <v>7658.3361377458014</v>
      </c>
      <c r="AL57" s="124"/>
      <c r="AM57" s="173">
        <f t="shared" si="23"/>
        <v>268836.07129243464</v>
      </c>
      <c r="AN57" s="173"/>
      <c r="AO57" s="124">
        <f t="shared" si="24"/>
        <v>29571.967842167811</v>
      </c>
      <c r="AP57" s="124"/>
      <c r="AQ57" s="124">
        <f t="shared" si="25"/>
        <v>52307.871771094819</v>
      </c>
      <c r="AR57" s="124"/>
      <c r="AS57" s="124"/>
    </row>
    <row r="58" spans="1:45" x14ac:dyDescent="0.3">
      <c r="A58" s="124">
        <v>280</v>
      </c>
      <c r="B58" s="124"/>
      <c r="C58" s="124"/>
      <c r="D58" s="124">
        <v>238.8</v>
      </c>
      <c r="E58" s="124"/>
      <c r="F58" s="124"/>
      <c r="G58" s="85">
        <f t="shared" si="26"/>
        <v>4.4787675842931383E-2</v>
      </c>
      <c r="H58" s="86">
        <f t="shared" si="30"/>
        <v>4.9200000000000001E-2</v>
      </c>
      <c r="I58" s="86">
        <f t="shared" si="27"/>
        <v>1.0985164796794205</v>
      </c>
      <c r="J58" s="86">
        <v>2</v>
      </c>
      <c r="K58" s="86">
        <v>0.5</v>
      </c>
      <c r="L58" s="177" t="s">
        <v>180</v>
      </c>
      <c r="M58" s="177"/>
      <c r="N58" s="177"/>
      <c r="O58" s="85">
        <f t="shared" si="28"/>
        <v>262325.73534744565</v>
      </c>
      <c r="P58" s="85">
        <f t="shared" si="31"/>
        <v>2.0938023450586263E-3</v>
      </c>
      <c r="Q58" s="86">
        <v>2.4E-2</v>
      </c>
      <c r="R58" s="85">
        <f t="shared" si="29"/>
        <v>3.5234322478475035</v>
      </c>
      <c r="S58" s="14">
        <f t="shared" si="14"/>
        <v>73.182560260892117</v>
      </c>
      <c r="T58" s="14">
        <f t="shared" si="16"/>
        <v>3.6591280130446062</v>
      </c>
      <c r="U58" s="14">
        <f t="shared" si="15"/>
        <v>47.095612100053472</v>
      </c>
      <c r="V58" s="14">
        <f t="shared" si="17"/>
        <v>56.514734520064167</v>
      </c>
      <c r="W58" s="124">
        <v>81.52</v>
      </c>
      <c r="X58" s="124"/>
      <c r="Y58" s="14">
        <v>1700</v>
      </c>
      <c r="Z58" s="14">
        <v>130</v>
      </c>
      <c r="AA58" s="14">
        <v>0.11</v>
      </c>
      <c r="AB58" s="14">
        <v>0.08</v>
      </c>
      <c r="AC58" s="124">
        <f t="shared" si="18"/>
        <v>52988</v>
      </c>
      <c r="AD58" s="124"/>
      <c r="AE58" s="124">
        <f t="shared" si="19"/>
        <v>96075.04868410909</v>
      </c>
      <c r="AF58" s="124"/>
      <c r="AG58" s="124">
        <f t="shared" si="20"/>
        <v>11224.404217470432</v>
      </c>
      <c r="AH58" s="124"/>
      <c r="AI58" s="124">
        <f t="shared" si="21"/>
        <v>4443.5822375930156</v>
      </c>
      <c r="AJ58" s="124"/>
      <c r="AK58" s="124">
        <f t="shared" si="22"/>
        <v>7346.9154876083412</v>
      </c>
      <c r="AL58" s="124"/>
      <c r="AM58" s="173">
        <f t="shared" si="23"/>
        <v>257904.0486446362</v>
      </c>
      <c r="AN58" s="173"/>
      <c r="AO58" s="124">
        <f t="shared" si="24"/>
        <v>28369.445350909984</v>
      </c>
      <c r="AP58" s="124"/>
      <c r="AQ58" s="124">
        <f t="shared" si="25"/>
        <v>51384.34729358177</v>
      </c>
      <c r="AR58" s="124"/>
      <c r="AS58" s="124"/>
    </row>
    <row r="59" spans="1:45" x14ac:dyDescent="0.3">
      <c r="A59" s="174">
        <v>315</v>
      </c>
      <c r="B59" s="174"/>
      <c r="C59" s="174"/>
      <c r="D59" s="174">
        <v>268.60000000000002</v>
      </c>
      <c r="E59" s="174"/>
      <c r="F59" s="174"/>
      <c r="G59" s="106">
        <f t="shared" si="26"/>
        <v>5.6663304480545774E-2</v>
      </c>
      <c r="H59" s="107">
        <f t="shared" si="30"/>
        <v>4.9200000000000001E-2</v>
      </c>
      <c r="I59" s="107">
        <f t="shared" si="27"/>
        <v>0.8682868119153172</v>
      </c>
      <c r="J59" s="107">
        <v>2</v>
      </c>
      <c r="K59" s="107">
        <v>0.5</v>
      </c>
      <c r="L59" s="179" t="s">
        <v>180</v>
      </c>
      <c r="M59" s="179"/>
      <c r="N59" s="179"/>
      <c r="O59" s="106">
        <f t="shared" si="28"/>
        <v>233221.83768045422</v>
      </c>
      <c r="P59" s="106">
        <f t="shared" si="31"/>
        <v>1.8615040953090095E-3</v>
      </c>
      <c r="Q59" s="107">
        <v>2.4E-2</v>
      </c>
      <c r="R59" s="106">
        <f t="shared" si="29"/>
        <v>1.9570751183063038</v>
      </c>
      <c r="S59" s="106">
        <f t="shared" si="14"/>
        <v>71.533763282427699</v>
      </c>
      <c r="T59" s="106">
        <f t="shared" si="16"/>
        <v>3.5766881641213852</v>
      </c>
      <c r="U59" s="106">
        <f t="shared" si="15"/>
        <v>46.034551887720397</v>
      </c>
      <c r="V59" s="106">
        <f t="shared" si="17"/>
        <v>55.241462265264474</v>
      </c>
      <c r="W59" s="174">
        <v>103.48</v>
      </c>
      <c r="X59" s="174"/>
      <c r="Y59" s="106">
        <v>1700</v>
      </c>
      <c r="Z59" s="106">
        <v>130</v>
      </c>
      <c r="AA59" s="106">
        <v>0.11</v>
      </c>
      <c r="AB59" s="106">
        <v>0.08</v>
      </c>
      <c r="AC59" s="174">
        <f t="shared" si="18"/>
        <v>67262</v>
      </c>
      <c r="AD59" s="174"/>
      <c r="AE59" s="174">
        <f t="shared" si="19"/>
        <v>93910.485850949612</v>
      </c>
      <c r="AF59" s="174"/>
      <c r="AG59" s="174">
        <f t="shared" si="20"/>
        <v>10971.519326686986</v>
      </c>
      <c r="AH59" s="174"/>
      <c r="AI59" s="174">
        <f t="shared" si="21"/>
        <v>5640.6021828523699</v>
      </c>
      <c r="AJ59" s="174"/>
      <c r="AK59" s="174">
        <f t="shared" si="22"/>
        <v>7181.3900944843817</v>
      </c>
      <c r="AL59" s="174"/>
      <c r="AM59" s="173">
        <f t="shared" si="23"/>
        <v>252093.49194064704</v>
      </c>
      <c r="AN59" s="173"/>
      <c r="AO59" s="174">
        <f t="shared" si="24"/>
        <v>27730.284113471174</v>
      </c>
      <c r="AP59" s="174"/>
      <c r="AQ59" s="172">
        <f t="shared" si="25"/>
        <v>51523.795717494912</v>
      </c>
      <c r="AR59" s="172"/>
      <c r="AS59" s="172"/>
    </row>
    <row r="60" spans="1:45" x14ac:dyDescent="0.3">
      <c r="A60" s="124">
        <v>355</v>
      </c>
      <c r="B60" s="124"/>
      <c r="C60" s="124"/>
      <c r="D60" s="124">
        <v>302.8</v>
      </c>
      <c r="E60" s="124"/>
      <c r="F60" s="124"/>
      <c r="G60" s="85">
        <f t="shared" si="26"/>
        <v>7.2011461141879105E-2</v>
      </c>
      <c r="H60" s="86">
        <f t="shared" si="30"/>
        <v>4.9200000000000001E-2</v>
      </c>
      <c r="I60" s="86">
        <f t="shared" si="27"/>
        <v>0.68322457591944574</v>
      </c>
      <c r="J60" s="86">
        <v>2.1</v>
      </c>
      <c r="K60" s="86">
        <v>0.5</v>
      </c>
      <c r="L60" s="177" t="s">
        <v>180</v>
      </c>
      <c r="M60" s="177"/>
      <c r="N60" s="177"/>
      <c r="O60" s="85">
        <f t="shared" si="28"/>
        <v>206880.40158840819</v>
      </c>
      <c r="P60" s="85">
        <f t="shared" si="31"/>
        <v>1.6512549537648611E-3</v>
      </c>
      <c r="Q60" s="86">
        <v>2.3E-2</v>
      </c>
      <c r="R60" s="85">
        <f t="shared" si="29"/>
        <v>1.0300890659568487</v>
      </c>
      <c r="S60" s="14">
        <f t="shared" si="14"/>
        <v>70.557988490480895</v>
      </c>
      <c r="T60" s="14">
        <f t="shared" si="16"/>
        <v>3.5278994245240449</v>
      </c>
      <c r="U60" s="14">
        <f t="shared" si="15"/>
        <v>45.406605681210117</v>
      </c>
      <c r="V60" s="14">
        <f t="shared" si="17"/>
        <v>54.487926817452141</v>
      </c>
      <c r="W60" s="124">
        <v>130.94999999999999</v>
      </c>
      <c r="X60" s="124"/>
      <c r="Y60" s="14">
        <v>1700</v>
      </c>
      <c r="Z60" s="14">
        <v>130</v>
      </c>
      <c r="AA60" s="14">
        <v>0.11</v>
      </c>
      <c r="AB60" s="14">
        <v>0.08</v>
      </c>
      <c r="AC60" s="124">
        <f t="shared" si="18"/>
        <v>85117.499999999985</v>
      </c>
      <c r="AD60" s="124"/>
      <c r="AE60" s="124">
        <f t="shared" si="19"/>
        <v>92629.47558966864</v>
      </c>
      <c r="AF60" s="124"/>
      <c r="AG60" s="124">
        <f t="shared" si="20"/>
        <v>10821.859480803159</v>
      </c>
      <c r="AH60" s="124"/>
      <c r="AI60" s="124">
        <f t="shared" si="21"/>
        <v>7137.9672965260706</v>
      </c>
      <c r="AJ60" s="124"/>
      <c r="AK60" s="124">
        <f t="shared" si="22"/>
        <v>7083.4304862687786</v>
      </c>
      <c r="AL60" s="124"/>
      <c r="AM60" s="173">
        <f t="shared" si="23"/>
        <v>248654.74548915209</v>
      </c>
      <c r="AN60" s="173"/>
      <c r="AO60" s="124">
        <f t="shared" si="24"/>
        <v>27352.022003806731</v>
      </c>
      <c r="AP60" s="124"/>
      <c r="AQ60" s="124">
        <f t="shared" si="25"/>
        <v>52395.279267404738</v>
      </c>
      <c r="AR60" s="124"/>
      <c r="AS60" s="124"/>
    </row>
    <row r="61" spans="1:45" x14ac:dyDescent="0.3">
      <c r="A61" s="124">
        <v>400</v>
      </c>
      <c r="B61" s="124"/>
      <c r="C61" s="124"/>
      <c r="D61" s="124">
        <v>341.2</v>
      </c>
      <c r="E61" s="124"/>
      <c r="F61" s="124"/>
      <c r="G61" s="85">
        <f t="shared" si="26"/>
        <v>9.1434043563432627E-2</v>
      </c>
      <c r="H61" s="86">
        <f t="shared" si="30"/>
        <v>4.9200000000000001E-2</v>
      </c>
      <c r="I61" s="86">
        <f t="shared" si="27"/>
        <v>0.53809279435254731</v>
      </c>
      <c r="J61" s="86">
        <v>2.1</v>
      </c>
      <c r="K61" s="86">
        <v>0.5</v>
      </c>
      <c r="L61" s="177" t="s">
        <v>180</v>
      </c>
      <c r="M61" s="177"/>
      <c r="N61" s="177"/>
      <c r="O61" s="85">
        <f t="shared" si="28"/>
        <v>183597.26143308915</v>
      </c>
      <c r="P61" s="85">
        <f t="shared" si="31"/>
        <v>1.4654161781946073E-3</v>
      </c>
      <c r="Q61" s="86">
        <v>2.3E-2</v>
      </c>
      <c r="R61" s="85">
        <f t="shared" si="29"/>
        <v>0.56703389360189449</v>
      </c>
      <c r="S61" s="14">
        <f t="shared" si="14"/>
        <v>70.070561993265144</v>
      </c>
      <c r="T61" s="14">
        <f t="shared" si="16"/>
        <v>3.5035280996632574</v>
      </c>
      <c r="U61" s="14">
        <f t="shared" si="15"/>
        <v>45.092929182897876</v>
      </c>
      <c r="V61" s="14">
        <f t="shared" si="17"/>
        <v>54.111515019477451</v>
      </c>
      <c r="W61" s="124">
        <v>177.55</v>
      </c>
      <c r="X61" s="124"/>
      <c r="Y61" s="14">
        <v>1700</v>
      </c>
      <c r="Z61" s="14">
        <v>130</v>
      </c>
      <c r="AA61" s="14">
        <v>0.11</v>
      </c>
      <c r="AB61" s="14">
        <v>0.08</v>
      </c>
      <c r="AC61" s="124">
        <f t="shared" si="18"/>
        <v>115407.50000000001</v>
      </c>
      <c r="AD61" s="124"/>
      <c r="AE61" s="124">
        <f t="shared" si="19"/>
        <v>91989.575533111667</v>
      </c>
      <c r="AF61" s="124"/>
      <c r="AG61" s="124">
        <f t="shared" si="20"/>
        <v>10747.100248391074</v>
      </c>
      <c r="AH61" s="124"/>
      <c r="AI61" s="124">
        <f t="shared" si="21"/>
        <v>9678.091588378802</v>
      </c>
      <c r="AJ61" s="124"/>
      <c r="AK61" s="124">
        <f t="shared" si="22"/>
        <v>7034.4969525320685</v>
      </c>
      <c r="AL61" s="124"/>
      <c r="AM61" s="173">
        <f t="shared" si="23"/>
        <v>246936.99652545818</v>
      </c>
      <c r="AN61" s="173"/>
      <c r="AO61" s="124">
        <f t="shared" si="24"/>
        <v>27163.0696178004</v>
      </c>
      <c r="AP61" s="124"/>
      <c r="AQ61" s="124">
        <f t="shared" si="25"/>
        <v>54622.758407102345</v>
      </c>
      <c r="AR61" s="124"/>
      <c r="AS61" s="124"/>
    </row>
    <row r="62" spans="1:45" x14ac:dyDescent="0.3">
      <c r="A62" s="175">
        <v>450</v>
      </c>
      <c r="B62" s="175"/>
      <c r="C62" s="175"/>
      <c r="D62" s="175">
        <v>383.8</v>
      </c>
      <c r="E62" s="175"/>
      <c r="F62" s="175"/>
      <c r="G62" s="87">
        <f t="shared" si="26"/>
        <v>0.11569106583996284</v>
      </c>
      <c r="H62" s="88">
        <f t="shared" si="30"/>
        <v>4.9200000000000001E-2</v>
      </c>
      <c r="I62" s="88">
        <f t="shared" si="27"/>
        <v>0.4252705223414493</v>
      </c>
      <c r="J62" s="88">
        <v>2.1</v>
      </c>
      <c r="K62" s="88">
        <v>0.5</v>
      </c>
      <c r="L62" s="178" t="s">
        <v>179</v>
      </c>
      <c r="M62" s="178"/>
      <c r="N62" s="178"/>
      <c r="O62" s="87">
        <f t="shared" si="28"/>
        <v>163218.82647464826</v>
      </c>
      <c r="P62" s="87">
        <f t="shared" si="31"/>
        <v>1.3027618551328818E-3</v>
      </c>
      <c r="Q62" s="88">
        <v>2.1999999999999999E-2</v>
      </c>
      <c r="R62" s="87">
        <f t="shared" si="29"/>
        <v>0.30117860975841887</v>
      </c>
      <c r="S62" s="75">
        <f t="shared" si="14"/>
        <v>69.790714326061504</v>
      </c>
      <c r="T62" s="75">
        <f t="shared" si="16"/>
        <v>3.4895357163030756</v>
      </c>
      <c r="U62" s="75">
        <f t="shared" si="15"/>
        <v>44.912837134536318</v>
      </c>
      <c r="V62" s="75">
        <f t="shared" si="17"/>
        <v>53.895404561443577</v>
      </c>
      <c r="W62" s="175">
        <v>224.86</v>
      </c>
      <c r="X62" s="175"/>
      <c r="Y62" s="75">
        <v>1700</v>
      </c>
      <c r="Z62" s="75">
        <v>130</v>
      </c>
      <c r="AA62" s="75">
        <v>0.11</v>
      </c>
      <c r="AB62" s="75">
        <v>0.08</v>
      </c>
      <c r="AC62" s="175">
        <f t="shared" si="18"/>
        <v>146159</v>
      </c>
      <c r="AD62" s="175"/>
      <c r="AE62" s="175">
        <f>V62*Y62</f>
        <v>91622.187754454077</v>
      </c>
      <c r="AF62" s="175"/>
      <c r="AG62" s="175">
        <f t="shared" si="20"/>
        <v>10704.178501395452</v>
      </c>
      <c r="AH62" s="175"/>
      <c r="AI62" s="175">
        <f t="shared" si="21"/>
        <v>12256.917344764051</v>
      </c>
      <c r="AJ62" s="175"/>
      <c r="AK62" s="175">
        <f t="shared" si="22"/>
        <v>7006.4025929876652</v>
      </c>
      <c r="AL62" s="175"/>
      <c r="AM62" s="175">
        <f t="shared" si="23"/>
        <v>245950.78005368842</v>
      </c>
      <c r="AN62" s="175"/>
      <c r="AO62" s="175">
        <f t="shared" si="24"/>
        <v>27054.585805905725</v>
      </c>
      <c r="AP62" s="175"/>
      <c r="AQ62" s="175">
        <f t="shared" si="25"/>
        <v>57022.084245052894</v>
      </c>
      <c r="AR62" s="175"/>
      <c r="AS62" s="175"/>
    </row>
  </sheetData>
  <mergeCells count="322">
    <mergeCell ref="S15:U15"/>
    <mergeCell ref="S16:U16"/>
    <mergeCell ref="S17:U17"/>
    <mergeCell ref="S18:U18"/>
    <mergeCell ref="S19:U19"/>
    <mergeCell ref="S13:U13"/>
    <mergeCell ref="S14:U14"/>
    <mergeCell ref="L23:N23"/>
    <mergeCell ref="L19:N19"/>
    <mergeCell ref="L16:N16"/>
    <mergeCell ref="S20:U20"/>
    <mergeCell ref="S21:U21"/>
    <mergeCell ref="S22:U22"/>
    <mergeCell ref="S23:U23"/>
    <mergeCell ref="L15:N15"/>
    <mergeCell ref="L17:N17"/>
    <mergeCell ref="L18:N18"/>
    <mergeCell ref="L20:N20"/>
    <mergeCell ref="P25:W25"/>
    <mergeCell ref="P26:W26"/>
    <mergeCell ref="A23:C23"/>
    <mergeCell ref="D23:F23"/>
    <mergeCell ref="L21:N21"/>
    <mergeCell ref="L22:N22"/>
    <mergeCell ref="A21:C21"/>
    <mergeCell ref="D21:F21"/>
    <mergeCell ref="A22:C22"/>
    <mergeCell ref="D22:F22"/>
    <mergeCell ref="J1:L1"/>
    <mergeCell ref="F2:I2"/>
    <mergeCell ref="N1:P1"/>
    <mergeCell ref="N2:P2"/>
    <mergeCell ref="N3:P3"/>
    <mergeCell ref="N5:P5"/>
    <mergeCell ref="N6:P6"/>
    <mergeCell ref="N7:P7"/>
    <mergeCell ref="N8:P8"/>
    <mergeCell ref="J9:L9"/>
    <mergeCell ref="J2:L2"/>
    <mergeCell ref="F7:I7"/>
    <mergeCell ref="F8:I8"/>
    <mergeCell ref="F9:I9"/>
    <mergeCell ref="J3:L3"/>
    <mergeCell ref="J4:L4"/>
    <mergeCell ref="J5:L5"/>
    <mergeCell ref="N4:P4"/>
    <mergeCell ref="J6:L6"/>
    <mergeCell ref="J7:L7"/>
    <mergeCell ref="J8:L8"/>
    <mergeCell ref="F3:I3"/>
    <mergeCell ref="F4:I4"/>
    <mergeCell ref="F5:I5"/>
    <mergeCell ref="F6:I6"/>
    <mergeCell ref="N9:P9"/>
    <mergeCell ref="A1:D1"/>
    <mergeCell ref="A2:C2"/>
    <mergeCell ref="A3:C3"/>
    <mergeCell ref="A4:C4"/>
    <mergeCell ref="A28:B28"/>
    <mergeCell ref="A5:C5"/>
    <mergeCell ref="A6:C6"/>
    <mergeCell ref="A7:C7"/>
    <mergeCell ref="A8:C8"/>
    <mergeCell ref="A9:C9"/>
    <mergeCell ref="A11:B11"/>
    <mergeCell ref="A15:E15"/>
    <mergeCell ref="A20:C20"/>
    <mergeCell ref="D20:F20"/>
    <mergeCell ref="A17:C17"/>
    <mergeCell ref="D17:F17"/>
    <mergeCell ref="A18:C18"/>
    <mergeCell ref="D18:F18"/>
    <mergeCell ref="A19:C19"/>
    <mergeCell ref="D19:F19"/>
    <mergeCell ref="A16:C16"/>
    <mergeCell ref="D16:F16"/>
    <mergeCell ref="A30:E30"/>
    <mergeCell ref="A38:C38"/>
    <mergeCell ref="D38:F38"/>
    <mergeCell ref="A39:C39"/>
    <mergeCell ref="D39:F39"/>
    <mergeCell ref="A40:C40"/>
    <mergeCell ref="D40:F40"/>
    <mergeCell ref="A31:C31"/>
    <mergeCell ref="D31:F31"/>
    <mergeCell ref="A36:C36"/>
    <mergeCell ref="D36:F36"/>
    <mergeCell ref="A37:C37"/>
    <mergeCell ref="D37:F37"/>
    <mergeCell ref="A32:C32"/>
    <mergeCell ref="A33:C33"/>
    <mergeCell ref="A34:C34"/>
    <mergeCell ref="A35:C35"/>
    <mergeCell ref="D32:F32"/>
    <mergeCell ref="D33:F33"/>
    <mergeCell ref="D34:F34"/>
    <mergeCell ref="D35:F35"/>
    <mergeCell ref="S29:U29"/>
    <mergeCell ref="S28:U28"/>
    <mergeCell ref="S30:U30"/>
    <mergeCell ref="L40:N40"/>
    <mergeCell ref="L41:N41"/>
    <mergeCell ref="L42:N42"/>
    <mergeCell ref="L30:N30"/>
    <mergeCell ref="L31:N31"/>
    <mergeCell ref="L36:N36"/>
    <mergeCell ref="L37:N37"/>
    <mergeCell ref="L38:N38"/>
    <mergeCell ref="L39:N39"/>
    <mergeCell ref="S31:U31"/>
    <mergeCell ref="L32:N32"/>
    <mergeCell ref="L33:N33"/>
    <mergeCell ref="L35:N35"/>
    <mergeCell ref="L34:N34"/>
    <mergeCell ref="S32:U32"/>
    <mergeCell ref="S33:U33"/>
    <mergeCell ref="S34:U34"/>
    <mergeCell ref="S35:U35"/>
    <mergeCell ref="S36:U36"/>
    <mergeCell ref="S37:U37"/>
    <mergeCell ref="S38:U38"/>
    <mergeCell ref="L47:N47"/>
    <mergeCell ref="A47:G47"/>
    <mergeCell ref="W48:X48"/>
    <mergeCell ref="W47:X47"/>
    <mergeCell ref="W49:X49"/>
    <mergeCell ref="W50:X50"/>
    <mergeCell ref="W51:X51"/>
    <mergeCell ref="W52:X52"/>
    <mergeCell ref="S39:U39"/>
    <mergeCell ref="S40:U40"/>
    <mergeCell ref="S41:U41"/>
    <mergeCell ref="S42:U42"/>
    <mergeCell ref="A41:C41"/>
    <mergeCell ref="D41:F41"/>
    <mergeCell ref="A42:C42"/>
    <mergeCell ref="D42:F42"/>
    <mergeCell ref="A50:C50"/>
    <mergeCell ref="D50:F50"/>
    <mergeCell ref="L50:N50"/>
    <mergeCell ref="A51:C51"/>
    <mergeCell ref="D51:F51"/>
    <mergeCell ref="L51:N51"/>
    <mergeCell ref="A48:C48"/>
    <mergeCell ref="D48:F48"/>
    <mergeCell ref="L48:N48"/>
    <mergeCell ref="A49:C49"/>
    <mergeCell ref="D49:F49"/>
    <mergeCell ref="L49:N49"/>
    <mergeCell ref="A54:C54"/>
    <mergeCell ref="D54:F54"/>
    <mergeCell ref="L54:N54"/>
    <mergeCell ref="A55:C55"/>
    <mergeCell ref="D55:F55"/>
    <mergeCell ref="L55:N55"/>
    <mergeCell ref="A52:C52"/>
    <mergeCell ref="D52:F52"/>
    <mergeCell ref="L52:N52"/>
    <mergeCell ref="A53:C53"/>
    <mergeCell ref="D53:F53"/>
    <mergeCell ref="L53:N53"/>
    <mergeCell ref="L56:N56"/>
    <mergeCell ref="L57:N57"/>
    <mergeCell ref="L58:N58"/>
    <mergeCell ref="L59:N59"/>
    <mergeCell ref="A58:C58"/>
    <mergeCell ref="D58:F58"/>
    <mergeCell ref="A59:C59"/>
    <mergeCell ref="D59:F59"/>
    <mergeCell ref="A56:C56"/>
    <mergeCell ref="D56:F56"/>
    <mergeCell ref="A57:C57"/>
    <mergeCell ref="D57:F57"/>
    <mergeCell ref="L60:N60"/>
    <mergeCell ref="L62:N62"/>
    <mergeCell ref="L61:N61"/>
    <mergeCell ref="A60:C60"/>
    <mergeCell ref="A61:C61"/>
    <mergeCell ref="A62:C62"/>
    <mergeCell ref="D60:F60"/>
    <mergeCell ref="D61:F61"/>
    <mergeCell ref="D62:F62"/>
    <mergeCell ref="W59:X59"/>
    <mergeCell ref="W60:X60"/>
    <mergeCell ref="W61:X61"/>
    <mergeCell ref="W62:X62"/>
    <mergeCell ref="AC48:AD48"/>
    <mergeCell ref="AC49:AD49"/>
    <mergeCell ref="AC50:AD50"/>
    <mergeCell ref="AC51:AD51"/>
    <mergeCell ref="AC52:AD52"/>
    <mergeCell ref="AC53:AD53"/>
    <mergeCell ref="AC54:AD54"/>
    <mergeCell ref="AC55:AD55"/>
    <mergeCell ref="AC56:AD56"/>
    <mergeCell ref="AC57:AD57"/>
    <mergeCell ref="AC58:AD58"/>
    <mergeCell ref="AC59:AD59"/>
    <mergeCell ref="W54:X54"/>
    <mergeCell ref="W55:X55"/>
    <mergeCell ref="W56:X56"/>
    <mergeCell ref="W57:X57"/>
    <mergeCell ref="W58:X58"/>
    <mergeCell ref="W53:X53"/>
    <mergeCell ref="AC60:AD60"/>
    <mergeCell ref="AC61:AD61"/>
    <mergeCell ref="AC47:AD47"/>
    <mergeCell ref="AE48:AF48"/>
    <mergeCell ref="AE49:AF49"/>
    <mergeCell ref="AE47:AF47"/>
    <mergeCell ref="AE50:AF50"/>
    <mergeCell ref="AE51:AF51"/>
    <mergeCell ref="AE52:AF52"/>
    <mergeCell ref="AE53:AF53"/>
    <mergeCell ref="AE54:AF54"/>
    <mergeCell ref="AG49:AH49"/>
    <mergeCell ref="AG50:AH50"/>
    <mergeCell ref="AG51:AH51"/>
    <mergeCell ref="AG52:AH52"/>
    <mergeCell ref="AG53:AH53"/>
    <mergeCell ref="AG54:AH54"/>
    <mergeCell ref="AG55:AH55"/>
    <mergeCell ref="AG56:AH56"/>
    <mergeCell ref="AC62:AD62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G57:AH57"/>
    <mergeCell ref="AG58:AH58"/>
    <mergeCell ref="AG59:AH59"/>
    <mergeCell ref="AG60:AH60"/>
    <mergeCell ref="AG61:AH61"/>
    <mergeCell ref="AG62:AH62"/>
    <mergeCell ref="AG47:AH47"/>
    <mergeCell ref="AI48:AJ48"/>
    <mergeCell ref="AI47:AJ47"/>
    <mergeCell ref="AI49:AJ49"/>
    <mergeCell ref="AI50:AJ50"/>
    <mergeCell ref="AI51:AJ51"/>
    <mergeCell ref="AI52:AJ52"/>
    <mergeCell ref="AI53:AJ53"/>
    <mergeCell ref="AI54:AJ54"/>
    <mergeCell ref="AI55:AJ55"/>
    <mergeCell ref="AI56:AJ56"/>
    <mergeCell ref="AI57:AJ57"/>
    <mergeCell ref="AI58:AJ58"/>
    <mergeCell ref="AI59:AJ59"/>
    <mergeCell ref="AI60:AJ60"/>
    <mergeCell ref="AI61:AJ61"/>
    <mergeCell ref="AI62:AJ62"/>
    <mergeCell ref="AG48:AH48"/>
    <mergeCell ref="AK47:AL47"/>
    <mergeCell ref="AM48:AN48"/>
    <mergeCell ref="AM49:AN49"/>
    <mergeCell ref="AM50:AN50"/>
    <mergeCell ref="AM51:AN51"/>
    <mergeCell ref="AM52:AN52"/>
    <mergeCell ref="AM53:AN53"/>
    <mergeCell ref="AM54:AN54"/>
    <mergeCell ref="AM55:AN55"/>
    <mergeCell ref="AM47:AN47"/>
    <mergeCell ref="AK48:AL48"/>
    <mergeCell ref="AK49:AL49"/>
    <mergeCell ref="AK50:AL50"/>
    <mergeCell ref="AK51:AL51"/>
    <mergeCell ref="AK52:AL52"/>
    <mergeCell ref="AK53:AL53"/>
    <mergeCell ref="AK54:AL54"/>
    <mergeCell ref="AK55:AL55"/>
    <mergeCell ref="AO54:AP54"/>
    <mergeCell ref="AO55:AP55"/>
    <mergeCell ref="AO56:AP56"/>
    <mergeCell ref="AK57:AL57"/>
    <mergeCell ref="AK58:AL58"/>
    <mergeCell ref="AK59:AL59"/>
    <mergeCell ref="AK60:AL60"/>
    <mergeCell ref="AK61:AL61"/>
    <mergeCell ref="AK62:AL62"/>
    <mergeCell ref="AM56:AN56"/>
    <mergeCell ref="AM57:AN57"/>
    <mergeCell ref="AM58:AN58"/>
    <mergeCell ref="AM59:AN59"/>
    <mergeCell ref="AM62:AN62"/>
    <mergeCell ref="AK56:AL56"/>
    <mergeCell ref="AE46:AF46"/>
    <mergeCell ref="AC46:AD46"/>
    <mergeCell ref="AO46:AP46"/>
    <mergeCell ref="AO60:AP60"/>
    <mergeCell ref="AO61:AP61"/>
    <mergeCell ref="AO62:AP62"/>
    <mergeCell ref="AO47:AP47"/>
    <mergeCell ref="AQ48:AS48"/>
    <mergeCell ref="AQ49:AS49"/>
    <mergeCell ref="AQ50:AS50"/>
    <mergeCell ref="AQ51:AS51"/>
    <mergeCell ref="AQ52:AS52"/>
    <mergeCell ref="AQ53:AS53"/>
    <mergeCell ref="AQ54:AS54"/>
    <mergeCell ref="AQ55:AS55"/>
    <mergeCell ref="AQ56:AS56"/>
    <mergeCell ref="AQ57:AS57"/>
    <mergeCell ref="AQ58:AS58"/>
    <mergeCell ref="AO48:AP48"/>
    <mergeCell ref="AO49:AP49"/>
    <mergeCell ref="AO50:AP50"/>
    <mergeCell ref="AO51:AP51"/>
    <mergeCell ref="AO52:AP52"/>
    <mergeCell ref="AO53:AP53"/>
    <mergeCell ref="AQ59:AS59"/>
    <mergeCell ref="AM60:AN60"/>
    <mergeCell ref="AM61:AN61"/>
    <mergeCell ref="AO57:AP57"/>
    <mergeCell ref="AO58:AP58"/>
    <mergeCell ref="AO59:AP59"/>
    <mergeCell ref="AQ60:AS60"/>
    <mergeCell ref="AQ61:AS61"/>
    <mergeCell ref="AQ62:AS6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E8A0-B1FD-4F4F-9132-2C98B18D01DD}">
  <dimension ref="A1:U25"/>
  <sheetViews>
    <sheetView tabSelected="1" zoomScale="86" zoomScaleNormal="86" workbookViewId="0">
      <selection activeCell="Q29" sqref="Q29"/>
    </sheetView>
  </sheetViews>
  <sheetFormatPr defaultRowHeight="14.4" x14ac:dyDescent="0.3"/>
  <cols>
    <col min="17" max="17" width="10.21875" bestFit="1" customWidth="1"/>
  </cols>
  <sheetData>
    <row r="1" spans="1:21" x14ac:dyDescent="0.3">
      <c r="A1" s="231" t="s">
        <v>241</v>
      </c>
      <c r="B1" s="231"/>
      <c r="C1" s="231"/>
      <c r="D1" s="231"/>
      <c r="E1" s="231"/>
      <c r="F1" s="231"/>
      <c r="G1" s="231"/>
      <c r="H1" s="231"/>
      <c r="I1" s="231"/>
      <c r="J1" s="231"/>
      <c r="K1" s="96"/>
      <c r="L1" s="96"/>
      <c r="M1" s="96"/>
      <c r="N1" s="96"/>
      <c r="O1" s="96"/>
      <c r="P1" s="96"/>
      <c r="Q1" s="96"/>
    </row>
    <row r="2" spans="1:2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21" x14ac:dyDescent="0.3">
      <c r="A3" s="228" t="s">
        <v>19</v>
      </c>
      <c r="B3" s="229"/>
      <c r="C3" s="229"/>
      <c r="D3" s="229"/>
      <c r="E3" s="229"/>
      <c r="F3" s="230"/>
      <c r="G3" s="49"/>
      <c r="H3" s="96"/>
      <c r="I3" s="96"/>
      <c r="J3" s="232" t="s">
        <v>258</v>
      </c>
      <c r="K3" s="232"/>
      <c r="L3" s="232"/>
      <c r="M3" s="232"/>
      <c r="N3" s="232"/>
      <c r="O3" s="232"/>
      <c r="P3" s="232"/>
      <c r="Q3" s="232"/>
      <c r="R3" s="232"/>
    </row>
    <row r="4" spans="1:21" x14ac:dyDescent="0.3">
      <c r="A4" s="225" t="s">
        <v>11</v>
      </c>
      <c r="B4" s="225"/>
      <c r="C4" s="225"/>
      <c r="D4" s="225"/>
      <c r="E4" s="225"/>
      <c r="F4" s="225"/>
      <c r="G4" s="91">
        <v>5</v>
      </c>
      <c r="H4" s="96"/>
      <c r="I4" s="96"/>
    </row>
    <row r="5" spans="1:21" x14ac:dyDescent="0.3">
      <c r="A5" s="225" t="s">
        <v>232</v>
      </c>
      <c r="B5" s="225"/>
      <c r="C5" s="225"/>
      <c r="D5" s="225"/>
      <c r="E5" s="225"/>
      <c r="F5" s="225"/>
      <c r="G5" s="92">
        <v>20</v>
      </c>
      <c r="H5" s="96"/>
      <c r="I5" s="96"/>
      <c r="J5" s="216" t="s">
        <v>242</v>
      </c>
      <c r="K5" s="217"/>
      <c r="L5" s="217"/>
      <c r="M5" s="217"/>
      <c r="N5" s="217"/>
      <c r="O5" s="217"/>
      <c r="P5" s="217"/>
      <c r="Q5" s="217"/>
      <c r="R5" s="68"/>
    </row>
    <row r="6" spans="1:21" x14ac:dyDescent="0.3">
      <c r="A6" s="225" t="s">
        <v>13</v>
      </c>
      <c r="B6" s="225"/>
      <c r="C6" s="225"/>
      <c r="D6" s="225"/>
      <c r="E6" s="225"/>
      <c r="F6" s="225"/>
      <c r="G6" s="93">
        <v>570</v>
      </c>
      <c r="H6" s="96"/>
      <c r="I6" s="96"/>
      <c r="J6" s="214" t="s">
        <v>255</v>
      </c>
      <c r="K6" s="215"/>
      <c r="L6" s="215"/>
      <c r="M6" s="215"/>
      <c r="N6" s="215"/>
      <c r="O6" s="215"/>
      <c r="P6" s="215"/>
      <c r="Q6" s="98"/>
      <c r="R6" s="60"/>
    </row>
    <row r="7" spans="1:21" x14ac:dyDescent="0.3">
      <c r="A7" s="225" t="s">
        <v>14</v>
      </c>
      <c r="B7" s="225"/>
      <c r="C7" s="225"/>
      <c r="D7" s="225"/>
      <c r="E7" s="225"/>
      <c r="F7" s="225"/>
      <c r="G7" s="93">
        <v>650</v>
      </c>
      <c r="H7" s="96"/>
      <c r="I7" s="96"/>
      <c r="J7" s="97"/>
      <c r="K7" s="98"/>
      <c r="L7" s="213" t="s">
        <v>243</v>
      </c>
      <c r="M7" s="213"/>
      <c r="N7" s="213"/>
      <c r="O7" s="98"/>
      <c r="P7" s="98"/>
      <c r="Q7" s="98"/>
      <c r="R7" s="60"/>
    </row>
    <row r="8" spans="1:21" x14ac:dyDescent="0.3">
      <c r="A8" s="225" t="s">
        <v>15</v>
      </c>
      <c r="B8" s="225"/>
      <c r="C8" s="225"/>
      <c r="D8" s="225"/>
      <c r="E8" s="225"/>
      <c r="F8" s="225"/>
      <c r="G8" s="93">
        <v>410</v>
      </c>
      <c r="H8" s="96"/>
      <c r="I8" s="96"/>
      <c r="J8" s="97"/>
      <c r="K8" s="213" t="s">
        <v>245</v>
      </c>
      <c r="L8" s="213"/>
      <c r="M8" s="213"/>
      <c r="N8" s="213" t="s">
        <v>249</v>
      </c>
      <c r="O8" s="213"/>
      <c r="P8" s="98" t="s">
        <v>250</v>
      </c>
      <c r="Q8" s="98"/>
      <c r="R8" s="60"/>
    </row>
    <row r="9" spans="1:21" x14ac:dyDescent="0.3">
      <c r="A9" s="219" t="s">
        <v>133</v>
      </c>
      <c r="B9" s="219"/>
      <c r="C9" s="219"/>
      <c r="D9" s="219"/>
      <c r="E9" s="219"/>
      <c r="F9" s="219"/>
      <c r="G9" s="94">
        <v>-36</v>
      </c>
      <c r="H9" s="96"/>
      <c r="I9" s="96"/>
      <c r="J9" s="97"/>
      <c r="K9" s="213" t="s">
        <v>244</v>
      </c>
      <c r="L9" s="213"/>
      <c r="M9" s="213"/>
      <c r="N9" s="213" t="s">
        <v>252</v>
      </c>
      <c r="O9" s="213"/>
      <c r="P9" s="98"/>
      <c r="Q9" s="98"/>
      <c r="R9" s="60"/>
    </row>
    <row r="10" spans="1:21" x14ac:dyDescent="0.3">
      <c r="A10" s="220" t="s">
        <v>247</v>
      </c>
      <c r="B10" s="221"/>
      <c r="C10" s="221"/>
      <c r="D10" s="221"/>
      <c r="E10" s="221"/>
      <c r="F10" s="222"/>
      <c r="G10" s="94">
        <v>205</v>
      </c>
      <c r="H10" s="96"/>
      <c r="I10" s="96"/>
      <c r="J10" s="97"/>
      <c r="K10" s="213" t="s">
        <v>246</v>
      </c>
      <c r="L10" s="213"/>
      <c r="M10" s="213"/>
      <c r="N10" s="213" t="s">
        <v>253</v>
      </c>
      <c r="O10" s="213"/>
      <c r="P10" s="98" t="s">
        <v>251</v>
      </c>
      <c r="Q10" s="98"/>
      <c r="R10" s="60"/>
    </row>
    <row r="11" spans="1:21" x14ac:dyDescent="0.3">
      <c r="A11" s="220" t="s">
        <v>248</v>
      </c>
      <c r="B11" s="221"/>
      <c r="C11" s="221"/>
      <c r="D11" s="221"/>
      <c r="E11" s="221"/>
      <c r="F11" s="222"/>
      <c r="G11" s="94">
        <v>230</v>
      </c>
      <c r="H11" s="96"/>
      <c r="I11" s="96"/>
      <c r="J11" s="99"/>
      <c r="K11" s="223" t="s">
        <v>256</v>
      </c>
      <c r="L11" s="223"/>
      <c r="M11" s="223"/>
      <c r="N11" s="223"/>
      <c r="O11" s="223"/>
      <c r="P11" s="100" t="s">
        <v>257</v>
      </c>
      <c r="Q11" s="101">
        <f>79/0.95</f>
        <v>83.15789473684211</v>
      </c>
      <c r="R11" s="102" t="s">
        <v>147</v>
      </c>
    </row>
    <row r="12" spans="1:21" x14ac:dyDescent="0.3">
      <c r="A12" s="219" t="s">
        <v>134</v>
      </c>
      <c r="B12" s="219"/>
      <c r="C12" s="219"/>
      <c r="D12" s="219"/>
      <c r="E12" s="219"/>
      <c r="F12" s="219"/>
      <c r="G12" s="92">
        <v>1700</v>
      </c>
      <c r="H12" s="96"/>
      <c r="I12" s="96"/>
    </row>
    <row r="13" spans="1:21" x14ac:dyDescent="0.3">
      <c r="A13" s="219" t="s">
        <v>135</v>
      </c>
      <c r="B13" s="219"/>
      <c r="C13" s="219"/>
      <c r="D13" s="219"/>
      <c r="E13" s="219"/>
      <c r="F13" s="219"/>
      <c r="G13" s="92">
        <v>130</v>
      </c>
      <c r="H13" s="96" t="s">
        <v>213</v>
      </c>
      <c r="I13" s="96"/>
      <c r="J13" s="143" t="s">
        <v>259</v>
      </c>
      <c r="K13" s="127"/>
      <c r="L13" s="127"/>
      <c r="M13" s="127"/>
      <c r="N13" s="127"/>
      <c r="O13" s="127"/>
      <c r="P13" s="127"/>
      <c r="Q13" s="127"/>
      <c r="R13" s="127"/>
      <c r="S13" s="66"/>
      <c r="T13" s="68"/>
    </row>
    <row r="14" spans="1:21" x14ac:dyDescent="0.3">
      <c r="A14" s="219" t="s">
        <v>136</v>
      </c>
      <c r="B14" s="219"/>
      <c r="C14" s="219"/>
      <c r="D14" s="219"/>
      <c r="E14" s="219"/>
      <c r="F14" s="219"/>
      <c r="G14" s="92">
        <v>0.11</v>
      </c>
      <c r="H14" s="96"/>
      <c r="I14" s="96"/>
      <c r="J14" s="120" t="s">
        <v>260</v>
      </c>
      <c r="K14" s="137"/>
      <c r="L14" s="137"/>
      <c r="M14" s="137"/>
      <c r="N14" s="137"/>
      <c r="O14" s="137"/>
      <c r="P14" s="137"/>
      <c r="Q14" s="137"/>
      <c r="R14" s="137"/>
      <c r="S14" s="59"/>
      <c r="T14" s="60"/>
    </row>
    <row r="15" spans="1:21" x14ac:dyDescent="0.3">
      <c r="A15" s="219" t="s">
        <v>141</v>
      </c>
      <c r="B15" s="219"/>
      <c r="C15" s="219"/>
      <c r="D15" s="219"/>
      <c r="E15" s="219"/>
      <c r="F15" s="219"/>
      <c r="G15" s="95">
        <v>0.08</v>
      </c>
      <c r="H15" s="96"/>
      <c r="I15" s="96"/>
      <c r="J15" s="58"/>
      <c r="K15" s="59"/>
      <c r="L15" s="59"/>
      <c r="M15" s="59" t="s">
        <v>261</v>
      </c>
      <c r="N15" s="59"/>
      <c r="O15" s="59"/>
      <c r="P15" s="59"/>
      <c r="Q15" s="59"/>
      <c r="R15" s="59"/>
      <c r="S15" s="59"/>
      <c r="T15" s="60"/>
    </row>
    <row r="16" spans="1:21" x14ac:dyDescent="0.3">
      <c r="A16" s="96"/>
      <c r="B16" s="96"/>
      <c r="C16" s="96"/>
      <c r="D16" s="96"/>
      <c r="E16" s="96"/>
      <c r="F16" s="96"/>
      <c r="G16" s="96"/>
      <c r="H16" s="96"/>
      <c r="I16" s="96"/>
      <c r="J16" s="103" t="s">
        <v>262</v>
      </c>
      <c r="K16" s="62"/>
      <c r="L16" s="62"/>
      <c r="M16" s="62"/>
      <c r="N16" s="62"/>
      <c r="O16" s="62" t="s">
        <v>263</v>
      </c>
      <c r="P16" s="62"/>
      <c r="Q16" s="62"/>
      <c r="R16" s="62"/>
      <c r="S16" s="62"/>
      <c r="T16" s="63"/>
      <c r="U16" t="s">
        <v>264</v>
      </c>
    </row>
    <row r="17" spans="1:20" x14ac:dyDescent="0.3">
      <c r="A17" s="218" t="s">
        <v>233</v>
      </c>
      <c r="B17" s="218"/>
      <c r="C17" s="218"/>
      <c r="D17" s="218"/>
      <c r="E17" s="218"/>
      <c r="F17" s="218"/>
      <c r="G17" s="96"/>
      <c r="H17" s="96"/>
      <c r="I17" s="96"/>
    </row>
    <row r="18" spans="1:20" x14ac:dyDescent="0.3">
      <c r="A18" s="218" t="s">
        <v>234</v>
      </c>
      <c r="B18" s="218"/>
      <c r="C18" s="218"/>
      <c r="D18" s="218"/>
      <c r="E18" s="218"/>
      <c r="F18" s="218"/>
      <c r="G18" s="96">
        <v>0.75</v>
      </c>
      <c r="H18" s="96"/>
      <c r="I18" s="96"/>
      <c r="J18" s="133" t="s">
        <v>265</v>
      </c>
      <c r="K18" s="133"/>
      <c r="L18" s="133"/>
      <c r="M18" s="133"/>
      <c r="N18" s="133"/>
      <c r="O18" s="133"/>
      <c r="P18" t="s">
        <v>266</v>
      </c>
      <c r="Q18" s="224" t="s">
        <v>267</v>
      </c>
      <c r="R18" s="224"/>
      <c r="S18" s="224"/>
      <c r="T18" s="224"/>
    </row>
    <row r="19" spans="1:20" x14ac:dyDescent="0.3">
      <c r="A19" s="218" t="s">
        <v>235</v>
      </c>
      <c r="B19" s="218"/>
      <c r="C19" s="218"/>
      <c r="D19" s="218"/>
      <c r="E19" s="218"/>
      <c r="F19" s="218"/>
      <c r="G19" s="218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20" x14ac:dyDescent="0.3">
      <c r="A20" s="218" t="s">
        <v>236</v>
      </c>
      <c r="B20" s="218"/>
      <c r="C20" s="218"/>
      <c r="D20" s="218"/>
      <c r="E20" s="218"/>
      <c r="F20" s="218"/>
      <c r="G20" s="218"/>
      <c r="H20" s="96"/>
      <c r="I20" s="96"/>
      <c r="J20" s="212" t="s">
        <v>268</v>
      </c>
      <c r="K20" s="212"/>
      <c r="L20" s="212"/>
      <c r="M20" s="212"/>
      <c r="N20" s="212"/>
      <c r="O20" s="212"/>
      <c r="P20" s="212"/>
      <c r="Q20" s="212"/>
      <c r="R20" s="212"/>
    </row>
    <row r="21" spans="1:20" x14ac:dyDescent="0.3">
      <c r="A21" s="226" t="s">
        <v>239</v>
      </c>
      <c r="B21" s="226"/>
      <c r="C21" s="218" t="s">
        <v>237</v>
      </c>
      <c r="D21" s="218"/>
      <c r="E21" s="96" t="s">
        <v>238</v>
      </c>
      <c r="F21" s="96"/>
      <c r="G21" s="96"/>
      <c r="H21" s="96"/>
      <c r="I21" s="96"/>
      <c r="J21" s="96"/>
      <c r="K21" s="96"/>
      <c r="L21" s="96"/>
      <c r="M21" s="96" t="s">
        <v>269</v>
      </c>
      <c r="N21" s="96"/>
      <c r="O21" s="96"/>
      <c r="P21" s="96"/>
      <c r="Q21" s="96"/>
      <c r="R21" s="43">
        <f>(41*24)/20</f>
        <v>49.2</v>
      </c>
      <c r="S21" t="s">
        <v>32</v>
      </c>
    </row>
    <row r="22" spans="1:20" x14ac:dyDescent="0.3">
      <c r="A22" s="218" t="s">
        <v>254</v>
      </c>
      <c r="B22" s="218"/>
      <c r="C22" s="218" t="s">
        <v>237</v>
      </c>
      <c r="D22" s="218"/>
      <c r="E22" s="96" t="s">
        <v>240</v>
      </c>
      <c r="F22" s="96"/>
      <c r="G22" s="96"/>
      <c r="H22" s="96"/>
      <c r="I22" s="96"/>
      <c r="J22" s="212" t="s">
        <v>270</v>
      </c>
      <c r="K22" s="212"/>
      <c r="L22" s="212"/>
      <c r="M22" s="212"/>
      <c r="N22" s="212"/>
      <c r="O22" s="212"/>
      <c r="P22" s="212"/>
      <c r="Q22" s="212"/>
      <c r="R22" s="212"/>
    </row>
    <row r="23" spans="1:20" x14ac:dyDescent="0.3">
      <c r="A23" s="96"/>
      <c r="B23" s="96"/>
      <c r="C23" s="96"/>
      <c r="D23" s="96"/>
      <c r="E23" s="96"/>
      <c r="F23" s="96"/>
      <c r="G23" s="96"/>
      <c r="H23" s="96"/>
      <c r="I23" s="96"/>
      <c r="J23" s="96"/>
      <c r="N23" s="96"/>
      <c r="O23" s="96"/>
      <c r="P23" s="96"/>
      <c r="Q23" s="96"/>
    </row>
    <row r="24" spans="1:20" x14ac:dyDescent="0.3">
      <c r="A24" s="96"/>
      <c r="B24" s="96"/>
      <c r="C24" s="96"/>
      <c r="D24" s="96"/>
      <c r="E24" s="96"/>
      <c r="F24" s="96"/>
      <c r="G24" s="96"/>
      <c r="H24" s="96"/>
      <c r="I24" s="96"/>
      <c r="J24" s="96"/>
      <c r="L24" s="121" t="s">
        <v>325</v>
      </c>
      <c r="M24" s="121"/>
      <c r="N24" s="121"/>
      <c r="O24" s="121"/>
      <c r="P24" s="121"/>
      <c r="Q24" s="121"/>
    </row>
    <row r="25" spans="1:20" x14ac:dyDescent="0.3">
      <c r="A25" s="96"/>
      <c r="B25" s="96"/>
      <c r="C25" s="96"/>
      <c r="D25" s="96"/>
      <c r="E25" s="96"/>
      <c r="F25" s="96"/>
      <c r="G25" s="96"/>
      <c r="H25" s="96"/>
      <c r="I25" s="96"/>
      <c r="J25" s="96"/>
      <c r="N25" s="227" t="s">
        <v>326</v>
      </c>
      <c r="O25" s="227"/>
      <c r="P25" s="227"/>
      <c r="Q25" s="227"/>
    </row>
  </sheetData>
  <mergeCells count="41">
    <mergeCell ref="N25:Q25"/>
    <mergeCell ref="A3:F3"/>
    <mergeCell ref="A1:J1"/>
    <mergeCell ref="A17:F17"/>
    <mergeCell ref="A18:F18"/>
    <mergeCell ref="J3:R3"/>
    <mergeCell ref="J13:R13"/>
    <mergeCell ref="J14:R14"/>
    <mergeCell ref="J18:O18"/>
    <mergeCell ref="A8:F8"/>
    <mergeCell ref="A9:F9"/>
    <mergeCell ref="A12:F12"/>
    <mergeCell ref="A13:F13"/>
    <mergeCell ref="A4:F4"/>
    <mergeCell ref="A5:F5"/>
    <mergeCell ref="C21:D21"/>
    <mergeCell ref="A22:B22"/>
    <mergeCell ref="C22:D22"/>
    <mergeCell ref="A21:B21"/>
    <mergeCell ref="L24:Q24"/>
    <mergeCell ref="J5:Q5"/>
    <mergeCell ref="L7:N7"/>
    <mergeCell ref="A19:G19"/>
    <mergeCell ref="A20:G20"/>
    <mergeCell ref="A14:F14"/>
    <mergeCell ref="A15:F15"/>
    <mergeCell ref="A10:F10"/>
    <mergeCell ref="A11:F11"/>
    <mergeCell ref="N8:O8"/>
    <mergeCell ref="N10:O10"/>
    <mergeCell ref="N9:O9"/>
    <mergeCell ref="K11:O11"/>
    <mergeCell ref="Q18:T18"/>
    <mergeCell ref="J20:R20"/>
    <mergeCell ref="A6:F6"/>
    <mergeCell ref="A7:F7"/>
    <mergeCell ref="J22:R22"/>
    <mergeCell ref="K8:M8"/>
    <mergeCell ref="K9:M9"/>
    <mergeCell ref="K10:M10"/>
    <mergeCell ref="J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Δεδομένα+ερώτημα1.1</vt:lpstr>
      <vt:lpstr>1.2</vt:lpstr>
      <vt:lpstr>1.3</vt:lpstr>
      <vt:lpstr>1.3 πίνακες</vt:lpstr>
      <vt:lpstr>1.3 συνδυαστική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aggel</dc:creator>
  <cp:lastModifiedBy>aggel</cp:lastModifiedBy>
  <dcterms:created xsi:type="dcterms:W3CDTF">2022-04-16T22:43:25Z</dcterms:created>
  <dcterms:modified xsi:type="dcterms:W3CDTF">2022-07-19T11:04:18Z</dcterms:modified>
</cp:coreProperties>
</file>